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693" activeTab="0"/>
  </bookViews>
  <sheets>
    <sheet name="Instrukcje" sheetId="1" r:id="rId1"/>
    <sheet name="Plan '05 (jeden szczyt formy)" sheetId="2" r:id="rId2"/>
    <sheet name="Plan '05 (dwa szczyty formy)" sheetId="3" r:id="rId3"/>
    <sheet name="Szablony (Planu)" sheetId="4" r:id="rId4"/>
    <sheet name="Dziennik '05" sheetId="5" r:id="rId5"/>
    <sheet name="Szablony (Dziennika)" sheetId="6" r:id="rId6"/>
  </sheets>
  <definedNames>
    <definedName name="GI">#REF!</definedName>
    <definedName name="GI_2">#REF!</definedName>
    <definedName name="HOURS" localSheetId="0">'Instrukcje'!#REF!</definedName>
    <definedName name="HOURS" localSheetId="2">'Plan ''05 (dwa szczyty formy)'!$L$3</definedName>
    <definedName name="HOURS" localSheetId="1">'Plan ''05 (jeden szczyt formy)'!$L$3</definedName>
    <definedName name="HOURS" localSheetId="3">'Szablony (Planu)'!$M$3</definedName>
    <definedName name="HOURS">#REF!</definedName>
    <definedName name="ka">#REF!</definedName>
    <definedName name="kf">#REF!</definedName>
    <definedName name="kt">#REF!</definedName>
    <definedName name="LgR">#REF!</definedName>
    <definedName name="_xlnm.Print_Area" localSheetId="4">'Dziennik ''05'!$A$1:$AA$77</definedName>
    <definedName name="_xlnm.Print_Area" localSheetId="0">'Instrukcje'!$A$1:$N$28</definedName>
    <definedName name="_xlnm.Print_Area" localSheetId="2">'Plan ''05 (dwa szczyty formy)'!$A$1:$AP$163</definedName>
    <definedName name="_xlnm.Print_Area" localSheetId="1">'Plan ''05 (jeden szczyt formy)'!$A$1:$AP$159</definedName>
    <definedName name="_xlnm.Print_Area" localSheetId="5">'Szablony (Dziennika)'!$A$1:$AA$66</definedName>
    <definedName name="_xlnm.Print_Area" localSheetId="3">'Szablony (Planu)'!$A$1:$AP$60</definedName>
    <definedName name="SmR">#REF!</definedName>
    <definedName name="spd1">#REF!</definedName>
    <definedName name="spd2">#REF!</definedName>
    <definedName name="spd3">#REF!</definedName>
    <definedName name="spd4">#REF!</definedName>
    <definedName name="START" localSheetId="0">'Instrukcje'!#REF!</definedName>
    <definedName name="START" localSheetId="2">'Plan ''05 (dwa szczyty formy)'!$D$14</definedName>
    <definedName name="START" localSheetId="1">'Plan ''05 (jeden szczyt formy)'!$D$14</definedName>
    <definedName name="START" localSheetId="3">'Szablony (Planu)'!$D$9</definedName>
    <definedName name="START">#REF!</definedName>
    <definedName name="TABLE" localSheetId="0">'Instrukcje'!#REF!</definedName>
    <definedName name="TABLE" localSheetId="2">'Plan ''05 (dwa szczyty formy)'!$U$35:$V$38</definedName>
    <definedName name="TABLE" localSheetId="1">'Plan ''05 (jeden szczyt formy)'!$U$37:$V$40</definedName>
    <definedName name="TABLE" localSheetId="3">'Szablony (Planu)'!$U$36:$V$39</definedName>
    <definedName name="TABLE">#REF!</definedName>
    <definedName name="WD">#REF!</definedName>
  </definedNames>
  <calcPr fullCalcOnLoad="1"/>
</workbook>
</file>

<file path=xl/sharedStrings.xml><?xml version="1.0" encoding="utf-8"?>
<sst xmlns="http://schemas.openxmlformats.org/spreadsheetml/2006/main" count="891" uniqueCount="130">
  <si>
    <t xml:space="preserve"> </t>
  </si>
  <si>
    <t>#2</t>
  </si>
  <si>
    <t>#3</t>
  </si>
  <si>
    <t>#4</t>
  </si>
  <si>
    <t>--</t>
  </si>
  <si>
    <t>#1</t>
  </si>
  <si>
    <t>kcal</t>
  </si>
  <si>
    <t>#5</t>
  </si>
  <si>
    <t>#6</t>
  </si>
  <si>
    <t>%</t>
  </si>
  <si>
    <t>≥</t>
  </si>
  <si>
    <t>żółto</t>
  </si>
  <si>
    <t>DZIENNIK</t>
  </si>
  <si>
    <t>a wartości są oznakowane kolorami jak to opisano w odniesieniach do komórek poniżej (wartości w Dzienniku są też podkreślone.)</t>
  </si>
  <si>
    <t>z czarną obwódką,</t>
  </si>
  <si>
    <t xml:space="preserve">     rozłożą się daty na cały sezon. Jeśli potrzeba zrobić przerwę między dwoma cyklami, ręcznie wstaw nową datę początkową w pierwszy tydzień cyklu.</t>
  </si>
  <si>
    <r>
      <t xml:space="preserve">3. Dla planu z dwoma szczytami formy, wstaw planowany koniec Tygodnia 1 do </t>
    </r>
    <r>
      <rPr>
        <b/>
        <u val="single"/>
        <sz val="10"/>
        <color indexed="10"/>
        <rFont val="Arial Narrow"/>
        <family val="2"/>
      </rPr>
      <t>D14</t>
    </r>
    <r>
      <rPr>
        <sz val="10"/>
        <rFont val="Arial Narrow"/>
        <family val="2"/>
      </rPr>
      <t xml:space="preserve">, Tygodnia 11 - do </t>
    </r>
    <r>
      <rPr>
        <b/>
        <u val="single"/>
        <sz val="10"/>
        <color indexed="10"/>
        <rFont val="Arial Narrow"/>
        <family val="2"/>
      </rPr>
      <t>D54</t>
    </r>
    <r>
      <rPr>
        <sz val="10"/>
        <rFont val="Arial Narrow"/>
        <family val="2"/>
      </rPr>
      <t xml:space="preserve">, Tygodnia 19 - do </t>
    </r>
    <r>
      <rPr>
        <b/>
        <u val="single"/>
        <sz val="10"/>
        <color indexed="10"/>
        <rFont val="Arial Narrow"/>
        <family val="2"/>
      </rPr>
      <t>D73</t>
    </r>
    <r>
      <rPr>
        <sz val="10"/>
        <rFont val="Arial Narrow"/>
        <family val="2"/>
      </rPr>
      <t xml:space="preserve">, Tygodnia 23 - do </t>
    </r>
    <r>
      <rPr>
        <b/>
        <u val="single"/>
        <sz val="10"/>
        <color indexed="10"/>
        <rFont val="Arial Narrow"/>
        <family val="2"/>
      </rPr>
      <t>D84</t>
    </r>
    <r>
      <rPr>
        <sz val="10"/>
        <rFont val="Arial Narrow"/>
        <family val="2"/>
      </rPr>
      <t xml:space="preserve">, a Tygodnia 31 - do </t>
    </r>
    <r>
      <rPr>
        <b/>
        <u val="single"/>
        <sz val="10"/>
        <color indexed="10"/>
        <rFont val="Arial Narrow"/>
        <family val="2"/>
      </rPr>
      <t>D103</t>
    </r>
    <r>
      <rPr>
        <sz val="10"/>
        <rFont val="Arial Narrow"/>
        <family val="2"/>
      </rPr>
      <t>.</t>
    </r>
  </si>
  <si>
    <t xml:space="preserve">Zarówno dla arkuszy Dziennika, jak i dla Planu, komórki do wpisywania danych zaznaczone są na  </t>
  </si>
  <si>
    <r>
      <t xml:space="preserve">1. Rozpocznij od zaznaczenia pożądanej całkowitej liczby godzin w sezonie z </t>
    </r>
    <r>
      <rPr>
        <b/>
        <u val="single"/>
        <sz val="10"/>
        <color indexed="12"/>
        <rFont val="Arial Narrow"/>
        <family val="2"/>
      </rPr>
      <t>Y43:AO43</t>
    </r>
    <r>
      <rPr>
        <sz val="10"/>
        <rFont val="Arial Narrow"/>
        <family val="2"/>
      </rPr>
      <t xml:space="preserve"> i </t>
    </r>
    <r>
      <rPr>
        <b/>
        <u val="single"/>
        <sz val="10"/>
        <color indexed="12"/>
        <rFont val="Arial Narrow"/>
        <family val="2"/>
      </rPr>
      <t>Y45:AN45</t>
    </r>
    <r>
      <rPr>
        <sz val="10"/>
        <rFont val="Arial Narrow"/>
        <family val="2"/>
      </rPr>
      <t xml:space="preserve"> na stronie "Szablony (Planu)", a następnie skopiuj i wklej zaznaczoną wartość do </t>
    </r>
    <r>
      <rPr>
        <b/>
        <u val="single"/>
        <sz val="10"/>
        <color indexed="12"/>
        <rFont val="Arial Narrow"/>
        <family val="2"/>
      </rPr>
      <t>L3</t>
    </r>
    <r>
      <rPr>
        <sz val="10"/>
        <rFont val="Arial Narrow"/>
        <family val="2"/>
      </rPr>
      <t>.</t>
    </r>
  </si>
  <si>
    <r>
      <t xml:space="preserve">2. Dla planu z jednym szczytem formy, wstaw planowany koniec Tygodnia 1 do </t>
    </r>
    <r>
      <rPr>
        <b/>
        <u val="single"/>
        <sz val="10"/>
        <color indexed="10"/>
        <rFont val="Arial Narrow"/>
        <family val="2"/>
      </rPr>
      <t>D14</t>
    </r>
    <r>
      <rPr>
        <sz val="10"/>
        <rFont val="Arial Narrow"/>
        <family val="2"/>
      </rPr>
      <t xml:space="preserve">, Tygodnia 13 do </t>
    </r>
    <r>
      <rPr>
        <b/>
        <u val="single"/>
        <sz val="10"/>
        <color indexed="10"/>
        <rFont val="Arial Narrow"/>
        <family val="2"/>
      </rPr>
      <t>D57</t>
    </r>
    <r>
      <rPr>
        <sz val="10"/>
        <rFont val="Arial Narrow"/>
        <family val="2"/>
      </rPr>
      <t xml:space="preserve">, Tygodnia 29 do </t>
    </r>
    <r>
      <rPr>
        <b/>
        <u val="single"/>
        <sz val="10"/>
        <color indexed="10"/>
        <rFont val="Arial Narrow"/>
        <family val="2"/>
      </rPr>
      <t>D88</t>
    </r>
    <r>
      <rPr>
        <sz val="10"/>
        <rFont val="Arial Narrow"/>
        <family val="2"/>
      </rPr>
      <t xml:space="preserve">, a Tygodnia 33 - do </t>
    </r>
    <r>
      <rPr>
        <b/>
        <u val="single"/>
        <sz val="10"/>
        <color indexed="10"/>
        <rFont val="Arial Narrow"/>
        <family val="2"/>
      </rPr>
      <t>D118</t>
    </r>
    <r>
      <rPr>
        <sz val="10"/>
        <rFont val="Arial Narrow"/>
        <family val="2"/>
      </rPr>
      <t>.  Automatycznie wówczas</t>
    </r>
  </si>
  <si>
    <t>PLAN</t>
  </si>
  <si>
    <t>4. Aby skrócić bądź wydłużyć cykl, wstaw lub usuń wiersz pomiędzy pierwszymi a ostatnimi tygodniami, następnie przeklej pożądany cykl ze strony "Szablony (Planu)"</t>
  </si>
  <si>
    <r>
      <t xml:space="preserve">5. Wstaw wartość rozwijanej mocy do </t>
    </r>
    <r>
      <rPr>
        <b/>
        <u val="single"/>
        <sz val="10"/>
        <color indexed="17"/>
        <rFont val="Arial Narrow"/>
        <family val="2"/>
      </rPr>
      <t>L36</t>
    </r>
    <r>
      <rPr>
        <sz val="10"/>
        <rFont val="Arial Narrow"/>
        <family val="2"/>
      </rPr>
      <t xml:space="preserve"> (</t>
    </r>
    <r>
      <rPr>
        <b/>
        <u val="single"/>
        <sz val="10"/>
        <color indexed="17"/>
        <rFont val="Arial Narrow"/>
        <family val="2"/>
      </rPr>
      <t>L34</t>
    </r>
    <r>
      <rPr>
        <sz val="10"/>
        <rFont val="Arial Narrow"/>
        <family val="2"/>
      </rPr>
      <t xml:space="preserve"> dla planu z dwoma szczytami formy), co oznaczać będzie ograniczenie dolne na zakres, w jakim lokuje się twoja średnia moc 60-minutowa </t>
    </r>
  </si>
  <si>
    <r>
      <t xml:space="preserve">1. Wstaw przewidywaną liczbę godzin w tygodniu do komórki Cele Treningowe (komórkal </t>
    </r>
    <r>
      <rPr>
        <b/>
        <sz val="10"/>
        <color indexed="12"/>
        <rFont val="Arial Narrow"/>
        <family val="2"/>
      </rPr>
      <t>N5</t>
    </r>
    <r>
      <rPr>
        <sz val="10"/>
        <rFont val="Arial Narrow"/>
        <family val="2"/>
      </rPr>
      <t xml:space="preserve"> dla Tygodnia 1) i dostosuj rozkład czasu w miarę potrzeb (dla Tygodnia 1, będzie to</t>
    </r>
  </si>
  <si>
    <r>
      <t xml:space="preserve">    </t>
    </r>
    <r>
      <rPr>
        <b/>
        <sz val="10"/>
        <color indexed="40"/>
        <rFont val="Arial Narrow"/>
        <family val="2"/>
      </rPr>
      <t>O5</t>
    </r>
    <r>
      <rPr>
        <sz val="10"/>
        <rFont val="Arial Narrow"/>
        <family val="2"/>
      </rPr>
      <t xml:space="preserve"> oraz </t>
    </r>
    <r>
      <rPr>
        <b/>
        <sz val="10"/>
        <color indexed="40"/>
        <rFont val="Arial Narrow"/>
        <family val="2"/>
      </rPr>
      <t>Q5:U5</t>
    </r>
    <r>
      <rPr>
        <sz val="10"/>
        <rFont val="Arial Narrow"/>
        <family val="2"/>
      </rPr>
      <t>; P5 zostanie automatycznie przeliczone w miarę potrzeb.</t>
    </r>
  </si>
  <si>
    <r>
      <t xml:space="preserve">2. Wstaw planowany koniec Tygodnia 1 do </t>
    </r>
    <r>
      <rPr>
        <b/>
        <sz val="10"/>
        <color indexed="10"/>
        <rFont val="Arial Narrow"/>
        <family val="2"/>
      </rPr>
      <t>E2</t>
    </r>
    <r>
      <rPr>
        <sz val="10"/>
        <rFont val="Arial Narrow"/>
        <family val="2"/>
      </rPr>
      <t>.</t>
    </r>
  </si>
  <si>
    <t xml:space="preserve">    przeklej wiersze 22-25.)  Zastosuj narzędzie wypełniania Excela do skopiowania poprawnej formuły oraz wartości w kolumnach A i B, a  potem skopiuj odpowiednie formatowanie</t>
  </si>
  <si>
    <t xml:space="preserve">    komórek (+ lub -) dla poziomu pod/ponad (-/+)  pod każdą ze Stref intensywności z komórki obok. </t>
  </si>
  <si>
    <t>Razem</t>
  </si>
  <si>
    <t xml:space="preserve"> godzin w sezonie</t>
  </si>
  <si>
    <t>PLAN TRENINGOWY 2005</t>
  </si>
  <si>
    <t>OKRES</t>
  </si>
  <si>
    <t>KONIEC</t>
  </si>
  <si>
    <t>CZAS TRWANIA</t>
  </si>
  <si>
    <t>CZĘST.</t>
  </si>
  <si>
    <t>ROZŁOŻENIE CZASU</t>
  </si>
  <si>
    <t>ZAWODY</t>
  </si>
  <si>
    <t>NA STREFY TRENINGU</t>
  </si>
  <si>
    <t xml:space="preserve">   (godz:min)</t>
  </si>
  <si>
    <t>(jako % roku)</t>
  </si>
  <si>
    <t>WYŚCIG</t>
  </si>
  <si>
    <t>FAZA I -- Przygotowanie</t>
  </si>
  <si>
    <t>Cykl 1</t>
  </si>
  <si>
    <t>Cykl 2</t>
  </si>
  <si>
    <t>Tydzień</t>
  </si>
  <si>
    <t>(% Cyklu)</t>
  </si>
  <si>
    <t>(godz:min)</t>
  </si>
  <si>
    <t xml:space="preserve">STREFY TRENINGU wg MOCY </t>
  </si>
  <si>
    <t>STREFA</t>
  </si>
  <si>
    <t>GÓRNA GRANICA, CZAS TRWANIA</t>
  </si>
  <si>
    <r>
      <t xml:space="preserve">  55% P</t>
    </r>
    <r>
      <rPr>
        <vertAlign val="subscript"/>
        <sz val="12"/>
        <rFont val="Arial Narrow"/>
        <family val="2"/>
      </rPr>
      <t>60śr</t>
    </r>
  </si>
  <si>
    <r>
      <t xml:space="preserve">  75% P</t>
    </r>
    <r>
      <rPr>
        <vertAlign val="subscript"/>
        <sz val="12"/>
        <rFont val="Arial Narrow"/>
        <family val="2"/>
      </rPr>
      <t>60śr</t>
    </r>
  </si>
  <si>
    <r>
      <t xml:space="preserve">  90% P</t>
    </r>
    <r>
      <rPr>
        <vertAlign val="subscript"/>
        <sz val="12"/>
        <rFont val="Arial Narrow"/>
        <family val="2"/>
      </rPr>
      <t>60śr</t>
    </r>
  </si>
  <si>
    <r>
      <t>105% P</t>
    </r>
    <r>
      <rPr>
        <vertAlign val="subscript"/>
        <sz val="12"/>
        <rFont val="Arial Narrow"/>
        <family val="2"/>
      </rPr>
      <t>60śr</t>
    </r>
    <r>
      <rPr>
        <sz val="10"/>
        <rFont val="Arial Narrow"/>
        <family val="2"/>
      </rPr>
      <t>, 10-30 min.</t>
    </r>
  </si>
  <si>
    <r>
      <t>120% P</t>
    </r>
    <r>
      <rPr>
        <vertAlign val="subscript"/>
        <sz val="12"/>
        <rFont val="Arial Narrow"/>
        <family val="2"/>
      </rPr>
      <t>60śr</t>
    </r>
    <r>
      <rPr>
        <sz val="10"/>
        <rFont val="Arial Narrow"/>
        <family val="2"/>
      </rPr>
      <t>, 3-8 min.</t>
    </r>
  </si>
  <si>
    <t>ŚREDNIA MOC z  60 min JAZDY NA CZAS (w watach)</t>
  </si>
  <si>
    <t>TYOGODNIOWY CZAS TRENINGÓW</t>
  </si>
  <si>
    <t>MINIMALNA CZĘSTOŚĆ</t>
  </si>
  <si>
    <t xml:space="preserve">PLAN 2005,  cz. 2 </t>
  </si>
  <si>
    <t>FAZA II - Specjalizacja</t>
  </si>
  <si>
    <t>Cykl 3</t>
  </si>
  <si>
    <t>Cykl 4</t>
  </si>
  <si>
    <t>Cykl 5</t>
  </si>
  <si>
    <t>Cykl 6</t>
  </si>
  <si>
    <t>Cykl 7</t>
  </si>
  <si>
    <t>Cykl 8</t>
  </si>
  <si>
    <t>Cykl 9</t>
  </si>
  <si>
    <t>Cykl 10</t>
  </si>
  <si>
    <t xml:space="preserve">PLAN 2005,  cz. 3 </t>
  </si>
  <si>
    <t>STREFY TRENINGU wg TĘTNA</t>
  </si>
  <si>
    <t>ŚREDNIE TĘTNO z  60 min JAZDY NA CZAS (ud/min)</t>
  </si>
  <si>
    <t>GRANICA, CZAS TRWANIA</t>
  </si>
  <si>
    <t>120% tętna przy LT (dolna), 3-8 min.</t>
  </si>
  <si>
    <t>105% tętna przy LT (górna), 10-30 min.</t>
  </si>
  <si>
    <t xml:space="preserve">  94% tętna przy LT (górna)</t>
  </si>
  <si>
    <t xml:space="preserve">  83% tętna przy LT (górna)</t>
  </si>
  <si>
    <t xml:space="preserve">  69% tętna przy LT (górna)</t>
  </si>
  <si>
    <t>FAZA III - Szczyt formy</t>
  </si>
  <si>
    <t>FAZA IV - Konserwacja</t>
  </si>
  <si>
    <t>FAZA I - Przygotowanie</t>
  </si>
  <si>
    <t>FAZA IIA - Specjalizacja 1</t>
  </si>
  <si>
    <t>FAZA IIB - Specjalizacja 2</t>
  </si>
  <si>
    <t>FAZA IIIB - Szczyt formy 2</t>
  </si>
  <si>
    <t>Cykl 11</t>
  </si>
  <si>
    <t>Cykl 12</t>
  </si>
  <si>
    <t>FAZA IIIA - Szczyt formy 1</t>
  </si>
  <si>
    <t xml:space="preserve">         SZABLONY</t>
  </si>
  <si>
    <t>Godzin</t>
  </si>
  <si>
    <t>TYGODNIOWY CZAS TRENINGÓW</t>
  </si>
  <si>
    <t>GODZIN W SEZONIE</t>
  </si>
  <si>
    <t>(% całego roku)</t>
  </si>
  <si>
    <t>ROZŁOŻENIE CZASU NA 3- DO 6-TYGODNIOWE CYKLE</t>
  </si>
  <si>
    <t>3 tyg</t>
  </si>
  <si>
    <t>4 tyg</t>
  </si>
  <si>
    <t>5 tyg</t>
  </si>
  <si>
    <t>6 tyg</t>
  </si>
  <si>
    <t>3 tygodnie</t>
  </si>
  <si>
    <t>4 tygodnie</t>
  </si>
  <si>
    <t>5 tygodni</t>
  </si>
  <si>
    <t>6 tygodni</t>
  </si>
  <si>
    <t>Faza I</t>
  </si>
  <si>
    <t>Faza II/III</t>
  </si>
  <si>
    <t>PRZELICZENIE CZASU TRWANIA</t>
  </si>
  <si>
    <r>
      <t xml:space="preserve">CZAS TRENINGÓW </t>
    </r>
    <r>
      <rPr>
        <sz val="10"/>
        <rFont val="Arial Narrow"/>
        <family val="2"/>
      </rPr>
      <t>(godz:min:sek)</t>
    </r>
  </si>
  <si>
    <t>trwa do</t>
  </si>
  <si>
    <t>CEL</t>
  </si>
  <si>
    <t>w roku</t>
  </si>
  <si>
    <t>w tyg.</t>
  </si>
  <si>
    <t>dzień</t>
  </si>
  <si>
    <t>data</t>
  </si>
  <si>
    <t>sen</t>
  </si>
  <si>
    <t>waga</t>
  </si>
  <si>
    <r>
      <t>tętno</t>
    </r>
    <r>
      <rPr>
        <vertAlign val="subscript"/>
        <sz val="10"/>
        <rFont val="Arial Narrow"/>
        <family val="2"/>
      </rPr>
      <t>spocz.</t>
    </r>
  </si>
  <si>
    <t>typ</t>
  </si>
  <si>
    <t>wyjście</t>
  </si>
  <si>
    <t>powrót</t>
  </si>
  <si>
    <t>łącznie</t>
  </si>
  <si>
    <t>sesja</t>
  </si>
  <si>
    <t>Strefy treningu</t>
  </si>
  <si>
    <r>
      <t>tętno</t>
    </r>
    <r>
      <rPr>
        <vertAlign val="subscript"/>
        <sz val="10"/>
        <rFont val="Arial Narrow"/>
        <family val="2"/>
      </rPr>
      <t>śr</t>
    </r>
  </si>
  <si>
    <t>dystans</t>
  </si>
  <si>
    <r>
      <t>prędkość</t>
    </r>
    <r>
      <rPr>
        <vertAlign val="subscript"/>
        <sz val="10"/>
        <rFont val="Arial Narrow"/>
        <family val="2"/>
      </rPr>
      <t>śr</t>
    </r>
  </si>
  <si>
    <r>
      <t>P</t>
    </r>
    <r>
      <rPr>
        <vertAlign val="subscript"/>
        <sz val="10"/>
        <rFont val="Arial Narrow"/>
        <family val="2"/>
      </rPr>
      <t>śr</t>
    </r>
  </si>
  <si>
    <t>Komentarze (warunki, ukształtowanie terenu, dieta)</t>
  </si>
  <si>
    <t>do łóżka o</t>
  </si>
  <si>
    <t>pobudka o</t>
  </si>
  <si>
    <t>Liczba sesji treningowych:</t>
  </si>
  <si>
    <t xml:space="preserve">    ("RAZEM, ŚREDNIO, +/-" oraz "%") dla rzeczywistej liczby sesji z arkusza "Szablony (Dziennika)"  (dla przykładu, jeśli ograniczysz się do 4 sesji treningowych w tygodniu,</t>
  </si>
  <si>
    <t xml:space="preserve">3.Przy końcu każdego tygodnia, jeśli liczba sesji treningowych różni się od przewidywanej, dodaj lub usuń odpowiednią liczbę wierszy, a następnie przeklej ostatnie 4 wiersze </t>
  </si>
  <si>
    <t>RAZEM, ŚREDNIO, +/-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</si>
</sst>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[h]"/>
    <numFmt numFmtId="175" formatCode="[h]:mm"/>
    <numFmt numFmtId="176" formatCode="m/d"/>
    <numFmt numFmtId="177" formatCode="0.000%"/>
    <numFmt numFmtId="178" formatCode="0.000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m/d/yy\ h:mm\ AM/PM"/>
    <numFmt numFmtId="185" formatCode="d\ayy\ m/d"/>
    <numFmt numFmtId="186" formatCode="d\ m/d"/>
    <numFmt numFmtId="187" formatCode="\-h:mm:ss"/>
    <numFmt numFmtId="188" formatCode="\-0"/>
    <numFmt numFmtId="189" formatCode="0.00000000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\(0.00\)"/>
    <numFmt numFmtId="195" formatCode="0.0_);\(0.0\)"/>
    <numFmt numFmtId="196" formatCode="[$€-2]\ #,##0.00_);[Red]\([$€-2]\ #,##0.00\)"/>
    <numFmt numFmtId="197" formatCode="[$-409]h:mm:ss\ AM/PM"/>
    <numFmt numFmtId="198" formatCode="h:mm;@"/>
    <numFmt numFmtId="199" formatCode="m:ss"/>
    <numFmt numFmtId="200" formatCode="mm:ss.0;@"/>
    <numFmt numFmtId="201" formatCode="[h]:mm:ss;@"/>
    <numFmt numFmtId="202" formatCode="h:mm:ss;@"/>
    <numFmt numFmtId="203" formatCode="[$-409]h:mm\ AM/PM;@"/>
    <numFmt numFmtId="204" formatCode="[$-415]d\ mmmm\ yyyy"/>
    <numFmt numFmtId="205" formatCode="mm/dd;@"/>
    <numFmt numFmtId="206" formatCode="hh:mm:ss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vertAlign val="subscript"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vertAlign val="superscript"/>
      <sz val="12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vertAlign val="subscript"/>
      <sz val="12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 Narrow"/>
      <family val="2"/>
    </font>
    <font>
      <sz val="13"/>
      <name val="Arial Narrow"/>
      <family val="2"/>
    </font>
    <font>
      <b/>
      <u val="single"/>
      <sz val="10"/>
      <color indexed="12"/>
      <name val="Arial Narrow"/>
      <family val="2"/>
    </font>
    <font>
      <b/>
      <u val="single"/>
      <sz val="13"/>
      <color indexed="12"/>
      <name val="Arial Narrow"/>
      <family val="2"/>
    </font>
    <font>
      <b/>
      <u val="single"/>
      <sz val="10"/>
      <color indexed="12"/>
      <name val="Arial"/>
      <family val="0"/>
    </font>
    <font>
      <b/>
      <u val="single"/>
      <sz val="14"/>
      <color indexed="12"/>
      <name val="Arial Narrow"/>
      <family val="2"/>
    </font>
    <font>
      <b/>
      <u val="single"/>
      <sz val="10"/>
      <color indexed="10"/>
      <name val="Arial Narrow"/>
      <family val="2"/>
    </font>
    <font>
      <b/>
      <u val="single"/>
      <sz val="10"/>
      <color indexed="17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9"/>
      <color indexed="12"/>
      <name val="Arial Narrow"/>
      <family val="2"/>
    </font>
    <font>
      <b/>
      <sz val="9"/>
      <color indexed="17"/>
      <name val="Arial Narrow"/>
      <family val="2"/>
    </font>
    <font>
      <sz val="10"/>
      <color indexed="15"/>
      <name val="Arial Narrow"/>
      <family val="2"/>
    </font>
    <font>
      <b/>
      <sz val="9"/>
      <color indexed="40"/>
      <name val="Arial Narrow"/>
      <family val="2"/>
    </font>
    <font>
      <b/>
      <sz val="10"/>
      <color indexed="40"/>
      <name val="Arial Narrow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3" fontId="9" fillId="0" borderId="0" xfId="0" applyNumberFormat="1" applyFont="1" applyAlignment="1">
      <alignment horizontal="center"/>
    </xf>
    <xf numFmtId="175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3" fontId="9" fillId="0" borderId="0" xfId="0" applyNumberFormat="1" applyFont="1" applyAlignment="1">
      <alignment horizontal="center"/>
    </xf>
    <xf numFmtId="175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16" fontId="5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2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21" fontId="8" fillId="0" borderId="2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8" fillId="0" borderId="2" xfId="0" applyNumberFormat="1" applyFont="1" applyBorder="1" applyAlignment="1">
      <alignment horizontal="center" vertical="center"/>
    </xf>
    <xf numFmtId="21" fontId="8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/>
    </xf>
    <xf numFmtId="172" fontId="8" fillId="2" borderId="2" xfId="0" applyNumberFormat="1" applyFont="1" applyFill="1" applyBorder="1" applyAlignment="1">
      <alignment horizontal="center"/>
    </xf>
    <xf numFmtId="172" fontId="8" fillId="0" borderId="1" xfId="0" applyNumberFormat="1" applyFont="1" applyBorder="1" applyAlignment="1">
      <alignment horizontal="center" vertical="center"/>
    </xf>
    <xf numFmtId="172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1" fontId="8" fillId="0" borderId="4" xfId="0" applyNumberFormat="1" applyFont="1" applyBorder="1" applyAlignment="1">
      <alignment horizontal="center" vertical="center"/>
    </xf>
    <xf numFmtId="2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2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3" fontId="8" fillId="0" borderId="2" xfId="2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9" fontId="5" fillId="0" borderId="0" xfId="0" applyNumberFormat="1" applyFont="1" applyAlignment="1">
      <alignment/>
    </xf>
    <xf numFmtId="199" fontId="5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172" fontId="8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4" fillId="2" borderId="8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9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17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74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/>
    </xf>
    <xf numFmtId="21" fontId="8" fillId="0" borderId="17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5" fontId="5" fillId="0" borderId="20" xfId="0" applyNumberFormat="1" applyFont="1" applyBorder="1" applyAlignment="1">
      <alignment horizontal="left"/>
    </xf>
    <xf numFmtId="175" fontId="5" fillId="0" borderId="2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3" fontId="8" fillId="0" borderId="2" xfId="21" applyNumberFormat="1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 vertical="top"/>
    </xf>
    <xf numFmtId="173" fontId="9" fillId="0" borderId="0" xfId="0" applyNumberFormat="1" applyFont="1" applyAlignment="1">
      <alignment/>
    </xf>
    <xf numFmtId="0" fontId="13" fillId="0" borderId="0" xfId="0" applyFont="1" applyBorder="1" applyAlignment="1">
      <alignment horizontal="centerContinuous" vertical="top"/>
    </xf>
    <xf numFmtId="173" fontId="5" fillId="0" borderId="0" xfId="21" applyNumberFormat="1" applyFont="1" applyBorder="1" applyAlignment="1">
      <alignment/>
    </xf>
    <xf numFmtId="173" fontId="5" fillId="0" borderId="0" xfId="21" applyNumberFormat="1" applyFont="1" applyAlignment="1">
      <alignment horizontal="center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/>
    </xf>
    <xf numFmtId="174" fontId="23" fillId="3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20" fontId="30" fillId="3" borderId="22" xfId="0" applyNumberFormat="1" applyFont="1" applyFill="1" applyBorder="1" applyAlignment="1">
      <alignment horizontal="center"/>
    </xf>
    <xf numFmtId="0" fontId="31" fillId="3" borderId="22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73" fontId="33" fillId="3" borderId="22" xfId="2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18" fontId="24" fillId="0" borderId="0" xfId="0" applyNumberFormat="1" applyFont="1" applyFill="1" applyBorder="1" applyAlignment="1">
      <alignment horizontal="center"/>
    </xf>
    <xf numFmtId="205" fontId="26" fillId="3" borderId="22" xfId="0" applyNumberFormat="1" applyFont="1" applyFill="1" applyBorder="1" applyAlignment="1">
      <alignment horizontal="left"/>
    </xf>
    <xf numFmtId="205" fontId="5" fillId="0" borderId="0" xfId="0" applyNumberFormat="1" applyFont="1" applyBorder="1" applyAlignment="1">
      <alignment horizontal="left"/>
    </xf>
    <xf numFmtId="205" fontId="5" fillId="0" borderId="0" xfId="0" applyNumberFormat="1" applyFont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205" fontId="9" fillId="0" borderId="0" xfId="0" applyNumberFormat="1" applyFont="1" applyAlignment="1">
      <alignment horizontal="left"/>
    </xf>
    <xf numFmtId="198" fontId="8" fillId="0" borderId="2" xfId="0" applyNumberFormat="1" applyFont="1" applyBorder="1" applyAlignment="1">
      <alignment horizontal="center" vertical="center"/>
    </xf>
    <xf numFmtId="198" fontId="8" fillId="0" borderId="0" xfId="0" applyNumberFormat="1" applyFont="1" applyBorder="1" applyAlignment="1">
      <alignment horizontal="center"/>
    </xf>
    <xf numFmtId="198" fontId="8" fillId="0" borderId="1" xfId="0" applyNumberFormat="1" applyFont="1" applyBorder="1" applyAlignment="1">
      <alignment horizontal="center"/>
    </xf>
    <xf numFmtId="198" fontId="8" fillId="0" borderId="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205" fontId="29" fillId="3" borderId="22" xfId="0" applyNumberFormat="1" applyFont="1" applyFill="1" applyBorder="1" applyAlignment="1">
      <alignment horizontal="center"/>
    </xf>
    <xf numFmtId="205" fontId="9" fillId="0" borderId="6" xfId="0" applyNumberFormat="1" applyFont="1" applyBorder="1" applyAlignment="1">
      <alignment horizontal="center"/>
    </xf>
    <xf numFmtId="198" fontId="8" fillId="0" borderId="5" xfId="0" applyNumberFormat="1" applyFont="1" applyBorder="1" applyAlignment="1">
      <alignment horizontal="center" vertical="center"/>
    </xf>
    <xf numFmtId="198" fontId="8" fillId="0" borderId="1" xfId="0" applyNumberFormat="1" applyFont="1" applyBorder="1" applyAlignment="1">
      <alignment horizontal="center" vertical="center"/>
    </xf>
    <xf numFmtId="198" fontId="8" fillId="0" borderId="3" xfId="0" applyNumberFormat="1" applyFont="1" applyBorder="1" applyAlignment="1">
      <alignment horizontal="center" vertical="center"/>
    </xf>
    <xf numFmtId="205" fontId="9" fillId="0" borderId="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SheetLayoutView="175" workbookViewId="0" topLeftCell="A1">
      <selection activeCell="A1" sqref="A1"/>
    </sheetView>
  </sheetViews>
  <sheetFormatPr defaultColWidth="9.140625" defaultRowHeight="18.75" customHeight="1"/>
  <cols>
    <col min="1" max="1" width="72.421875" style="2" customWidth="1"/>
    <col min="2" max="2" width="5.28125" style="2" customWidth="1"/>
    <col min="3" max="3" width="54.7109375" style="2" customWidth="1"/>
    <col min="4" max="9" width="5.7109375" style="2" customWidth="1"/>
    <col min="10" max="10" width="6.7109375" style="2" customWidth="1"/>
    <col min="11" max="16384" width="9.140625" style="2" customWidth="1"/>
  </cols>
  <sheetData>
    <row r="1" ht="12.75" customHeight="1" thickBot="1"/>
    <row r="2" spans="1:3" ht="18.75" customHeight="1" thickBot="1">
      <c r="A2" s="2" t="s">
        <v>17</v>
      </c>
      <c r="B2" s="205" t="s">
        <v>11</v>
      </c>
      <c r="C2" s="2" t="s">
        <v>14</v>
      </c>
    </row>
    <row r="3" ht="20.25" customHeight="1">
      <c r="A3" s="2" t="s">
        <v>13</v>
      </c>
    </row>
    <row r="4" ht="17.25" customHeight="1"/>
    <row r="5" s="135" customFormat="1" ht="18.75" customHeight="1">
      <c r="A5" s="202" t="s">
        <v>20</v>
      </c>
    </row>
    <row r="6" ht="21" customHeight="1">
      <c r="A6" s="2" t="s">
        <v>18</v>
      </c>
    </row>
    <row r="7" ht="20.25" customHeight="1">
      <c r="A7" s="2" t="s">
        <v>19</v>
      </c>
    </row>
    <row r="8" ht="12.75">
      <c r="A8" s="111" t="s">
        <v>15</v>
      </c>
    </row>
    <row r="9" ht="20.25" customHeight="1">
      <c r="A9" s="2" t="s">
        <v>16</v>
      </c>
    </row>
    <row r="10" ht="20.25" customHeight="1">
      <c r="A10" s="2" t="s">
        <v>21</v>
      </c>
    </row>
    <row r="11" ht="20.25" customHeight="1">
      <c r="A11" s="2" t="s">
        <v>22</v>
      </c>
    </row>
    <row r="13" s="135" customFormat="1" ht="18.75" customHeight="1">
      <c r="A13" s="202" t="s">
        <v>12</v>
      </c>
    </row>
    <row r="14" ht="20.25" customHeight="1">
      <c r="A14" s="2" t="s">
        <v>23</v>
      </c>
    </row>
    <row r="15" ht="12.75" customHeight="1">
      <c r="A15" s="2" t="s">
        <v>24</v>
      </c>
    </row>
    <row r="16" ht="20.25" customHeight="1">
      <c r="A16" s="2" t="s">
        <v>25</v>
      </c>
    </row>
    <row r="17" ht="20.25" customHeight="1">
      <c r="A17" s="111" t="s">
        <v>128</v>
      </c>
    </row>
    <row r="18" ht="12.75">
      <c r="A18" s="111" t="s">
        <v>127</v>
      </c>
    </row>
    <row r="19" ht="12.75" customHeight="1">
      <c r="A19" s="2" t="s">
        <v>26</v>
      </c>
    </row>
    <row r="20" ht="12.75">
      <c r="A20" s="2" t="s">
        <v>27</v>
      </c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</sheetData>
  <printOptions/>
  <pageMargins left="0.5" right="0.5" top="0.5" bottom="0.5" header="0.5" footer="0.5"/>
  <pageSetup horizontalDpi="300" verticalDpi="300" orientation="portrait" scale="89" r:id="rId1"/>
  <colBreaks count="1" manualBreakCount="1">
    <brk id="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3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.00390625" style="3" customWidth="1"/>
    <col min="3" max="3" width="1.7109375" style="2" customWidth="1"/>
    <col min="4" max="4" width="6.00390625" style="4" bestFit="1" customWidth="1"/>
    <col min="5" max="5" width="2.140625" style="4" customWidth="1"/>
    <col min="6" max="6" width="8.140625" style="5" customWidth="1"/>
    <col min="7" max="7" width="1.57421875" style="2" customWidth="1"/>
    <col min="8" max="8" width="6.140625" style="3" customWidth="1"/>
    <col min="9" max="9" width="1.57421875" style="3" customWidth="1"/>
    <col min="10" max="10" width="7.140625" style="5" customWidth="1"/>
    <col min="11" max="11" width="1.57421875" style="5" customWidth="1"/>
    <col min="12" max="18" width="5.8515625" style="5" customWidth="1"/>
    <col min="19" max="19" width="4.28125" style="2" customWidth="1"/>
    <col min="20" max="20" width="7.421875" style="2" customWidth="1"/>
    <col min="21" max="21" width="9.421875" style="2" customWidth="1"/>
    <col min="22" max="22" width="6.140625" style="2" customWidth="1"/>
    <col min="23" max="23" width="6.28125" style="2" customWidth="1"/>
    <col min="24" max="24" width="3.7109375" style="2" customWidth="1"/>
    <col min="25" max="41" width="6.421875" style="2" customWidth="1"/>
    <col min="42" max="44" width="6.00390625" style="2" customWidth="1"/>
    <col min="45" max="46" width="6.7109375" style="2" customWidth="1"/>
    <col min="47" max="16384" width="9.140625" style="2" customWidth="1"/>
  </cols>
  <sheetData>
    <row r="1" spans="1:24" ht="12.75" customHeight="1">
      <c r="A1" s="203"/>
      <c r="B1" s="26"/>
      <c r="C1" s="25"/>
      <c r="D1" s="33"/>
      <c r="E1" s="33"/>
      <c r="F1" s="27"/>
      <c r="G1" s="25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  <c r="S1" s="25"/>
      <c r="T1" s="25"/>
      <c r="U1" s="25"/>
      <c r="V1" s="25"/>
      <c r="W1" s="25"/>
      <c r="X1" s="25"/>
    </row>
    <row r="2" spans="1:24" s="37" customFormat="1" ht="18.75" thickBot="1">
      <c r="A2" s="83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138" customFormat="1" ht="19.5" thickBot="1">
      <c r="A3" s="137"/>
      <c r="B3" s="137"/>
      <c r="C3" s="137"/>
      <c r="D3" s="137"/>
      <c r="E3" s="137"/>
      <c r="F3" s="137"/>
      <c r="G3" s="137"/>
      <c r="H3" s="137"/>
      <c r="I3" s="137"/>
      <c r="J3" s="137" t="s">
        <v>28</v>
      </c>
      <c r="K3" s="137"/>
      <c r="L3" s="204">
        <v>20.833333333333332</v>
      </c>
      <c r="M3" s="173" t="s">
        <v>29</v>
      </c>
      <c r="P3" s="137"/>
      <c r="Q3" s="137"/>
      <c r="R3" s="137"/>
      <c r="S3" s="137"/>
      <c r="T3" s="137"/>
      <c r="U3" s="137"/>
      <c r="V3" s="137"/>
      <c r="W3" s="137"/>
      <c r="X3" s="137"/>
    </row>
    <row r="4" spans="1:24" ht="12.75">
      <c r="A4" s="25"/>
      <c r="B4" s="26"/>
      <c r="C4" s="25"/>
      <c r="D4" s="33"/>
      <c r="E4" s="33"/>
      <c r="F4" s="27"/>
      <c r="G4" s="25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5"/>
      <c r="T4" s="25"/>
      <c r="U4" s="25"/>
      <c r="V4" s="25"/>
      <c r="W4" s="25"/>
      <c r="X4" s="25"/>
    </row>
    <row r="5" spans="1:24" s="39" customFormat="1" ht="15.75">
      <c r="A5" s="60" t="s">
        <v>31</v>
      </c>
      <c r="B5" s="55"/>
      <c r="C5" s="56"/>
      <c r="D5" s="57" t="s">
        <v>32</v>
      </c>
      <c r="E5" s="57"/>
      <c r="F5" s="40" t="s">
        <v>33</v>
      </c>
      <c r="G5" s="41"/>
      <c r="H5" s="41"/>
      <c r="I5" s="59" t="s">
        <v>0</v>
      </c>
      <c r="J5" s="58" t="s">
        <v>34</v>
      </c>
      <c r="K5" s="58"/>
      <c r="L5" s="92" t="s">
        <v>35</v>
      </c>
      <c r="M5" s="92"/>
      <c r="N5" s="59"/>
      <c r="O5" s="59"/>
      <c r="P5" s="59"/>
      <c r="Q5" s="59"/>
      <c r="R5" s="59"/>
      <c r="S5" s="59" t="s">
        <v>0</v>
      </c>
      <c r="T5" s="60" t="s">
        <v>36</v>
      </c>
      <c r="U5" s="56"/>
      <c r="V5" s="56"/>
      <c r="W5" s="56"/>
      <c r="X5" s="56"/>
    </row>
    <row r="6" spans="1:24" s="6" customFormat="1" ht="16.5">
      <c r="A6" s="62"/>
      <c r="B6" s="61"/>
      <c r="C6" s="62"/>
      <c r="D6" s="63"/>
      <c r="E6" s="63"/>
      <c r="F6" s="64" t="s">
        <v>39</v>
      </c>
      <c r="G6" s="62"/>
      <c r="H6" s="64" t="s">
        <v>38</v>
      </c>
      <c r="I6" s="64"/>
      <c r="J6" s="64"/>
      <c r="K6" s="64"/>
      <c r="L6" s="40" t="s">
        <v>37</v>
      </c>
      <c r="M6" s="40"/>
      <c r="N6" s="41"/>
      <c r="O6" s="41"/>
      <c r="P6" s="41"/>
      <c r="Q6" s="41"/>
      <c r="R6" s="41"/>
      <c r="S6" s="65" t="s">
        <v>0</v>
      </c>
      <c r="T6" s="62"/>
      <c r="U6" s="62"/>
      <c r="V6" s="62"/>
      <c r="W6" s="62"/>
      <c r="X6" s="62"/>
    </row>
    <row r="7" spans="1:24" ht="16.5" customHeight="1">
      <c r="A7" s="25"/>
      <c r="B7" s="26"/>
      <c r="C7" s="25"/>
      <c r="D7" s="33"/>
      <c r="E7" s="33"/>
      <c r="F7" s="27"/>
      <c r="G7" s="25"/>
      <c r="H7" s="26"/>
      <c r="I7" s="26"/>
      <c r="J7" s="27"/>
      <c r="K7" s="27"/>
      <c r="L7" s="27" t="s">
        <v>5</v>
      </c>
      <c r="M7" s="27" t="s">
        <v>1</v>
      </c>
      <c r="N7" s="27" t="s">
        <v>2</v>
      </c>
      <c r="O7" s="27" t="s">
        <v>3</v>
      </c>
      <c r="P7" s="27" t="s">
        <v>7</v>
      </c>
      <c r="Q7" s="27" t="s">
        <v>8</v>
      </c>
      <c r="R7" s="33" t="s">
        <v>40</v>
      </c>
      <c r="S7" s="25"/>
      <c r="T7" s="25"/>
      <c r="U7" s="25"/>
      <c r="V7" s="25"/>
      <c r="W7" s="25"/>
      <c r="X7" s="25"/>
    </row>
    <row r="8" spans="1:24" ht="12" customHeight="1">
      <c r="A8" s="25"/>
      <c r="B8" s="26"/>
      <c r="C8" s="25"/>
      <c r="D8" s="33"/>
      <c r="E8" s="33"/>
      <c r="F8" s="27"/>
      <c r="G8" s="25"/>
      <c r="H8" s="26"/>
      <c r="I8" s="26"/>
      <c r="J8" s="27"/>
      <c r="K8" s="27"/>
      <c r="M8" s="27"/>
      <c r="N8" s="27"/>
      <c r="O8" s="27"/>
      <c r="P8" s="27"/>
      <c r="Q8" s="27"/>
      <c r="R8" s="27"/>
      <c r="S8" s="25"/>
      <c r="T8" s="25"/>
      <c r="U8" s="25"/>
      <c r="V8" s="25"/>
      <c r="W8" s="25"/>
      <c r="X8" s="25"/>
    </row>
    <row r="9" spans="1:24" s="45" customFormat="1" ht="12.75">
      <c r="A9" s="68" t="s">
        <v>41</v>
      </c>
      <c r="B9" s="67"/>
      <c r="C9" s="68"/>
      <c r="D9" s="225">
        <f>D29</f>
        <v>38438</v>
      </c>
      <c r="E9" s="47"/>
      <c r="F9" s="48">
        <f>SUM(F11,F21)</f>
        <v>0.255</v>
      </c>
      <c r="H9" s="49">
        <f>(F9*HOURS)</f>
        <v>5.3125</v>
      </c>
      <c r="I9" s="49"/>
      <c r="J9" s="50">
        <f>SUM(J11,J21)</f>
        <v>60</v>
      </c>
      <c r="K9" s="50"/>
      <c r="L9" s="51" t="s">
        <v>4</v>
      </c>
      <c r="M9" s="51" t="s">
        <v>4</v>
      </c>
      <c r="N9" s="51" t="s">
        <v>4</v>
      </c>
      <c r="O9" s="51" t="s">
        <v>4</v>
      </c>
      <c r="P9" s="51" t="s">
        <v>4</v>
      </c>
      <c r="Q9" s="51" t="s">
        <v>4</v>
      </c>
      <c r="R9" s="51" t="s">
        <v>4</v>
      </c>
      <c r="S9" s="70"/>
      <c r="T9" s="28"/>
      <c r="U9" s="28"/>
      <c r="V9" s="28"/>
      <c r="W9" s="68"/>
      <c r="X9" s="68"/>
    </row>
    <row r="10" spans="1:24" s="12" customFormat="1" ht="14.25" customHeight="1">
      <c r="A10" s="28"/>
      <c r="B10" s="71"/>
      <c r="C10" s="28"/>
      <c r="D10" s="29"/>
      <c r="E10" s="29"/>
      <c r="F10" s="72"/>
      <c r="G10" s="28"/>
      <c r="H10" s="73"/>
      <c r="I10" s="73"/>
      <c r="J10" s="30"/>
      <c r="K10" s="30"/>
      <c r="M10" s="74"/>
      <c r="N10" s="74"/>
      <c r="O10" s="74"/>
      <c r="P10" s="74"/>
      <c r="Q10" s="74"/>
      <c r="R10" s="74"/>
      <c r="S10" s="74"/>
      <c r="T10" s="28"/>
      <c r="U10" s="28"/>
      <c r="V10" s="28"/>
      <c r="W10" s="28"/>
      <c r="X10" s="28"/>
    </row>
    <row r="11" spans="1:24" ht="12.75">
      <c r="A11" s="25" t="s">
        <v>42</v>
      </c>
      <c r="B11" s="26"/>
      <c r="C11" s="25"/>
      <c r="D11" s="216">
        <f>D19</f>
        <v>38396</v>
      </c>
      <c r="E11" s="33"/>
      <c r="F11" s="76">
        <v>0.12</v>
      </c>
      <c r="G11" s="25"/>
      <c r="H11" s="77">
        <f>(F11*HOURS)</f>
        <v>2.4999999999999996</v>
      </c>
      <c r="I11" s="77"/>
      <c r="J11" s="27">
        <f>SUM(J14:J19)</f>
        <v>28</v>
      </c>
      <c r="K11" s="27"/>
      <c r="L11" s="76">
        <v>0</v>
      </c>
      <c r="M11" s="76">
        <v>0.78</v>
      </c>
      <c r="N11" s="76">
        <v>0.1</v>
      </c>
      <c r="O11" s="76">
        <v>0.08</v>
      </c>
      <c r="P11" s="76">
        <v>0.03</v>
      </c>
      <c r="Q11" s="76">
        <v>0.01</v>
      </c>
      <c r="R11" s="76">
        <v>0</v>
      </c>
      <c r="S11" s="78"/>
      <c r="T11" s="25"/>
      <c r="U11" s="25"/>
      <c r="V11" s="25"/>
      <c r="W11" s="25"/>
      <c r="X11" s="25"/>
    </row>
    <row r="12" spans="1:24" ht="6.75" customHeight="1">
      <c r="A12" s="25"/>
      <c r="B12" s="26"/>
      <c r="C12" s="25"/>
      <c r="D12" s="33"/>
      <c r="E12" s="33"/>
      <c r="F12" s="27"/>
      <c r="G12" s="25"/>
      <c r="H12" s="26"/>
      <c r="I12" s="26"/>
      <c r="J12" s="27"/>
      <c r="K12" s="27"/>
      <c r="M12" s="27"/>
      <c r="N12" s="27"/>
      <c r="O12" s="27"/>
      <c r="P12" s="27"/>
      <c r="Q12" s="27"/>
      <c r="R12" s="27"/>
      <c r="S12" s="25"/>
      <c r="T12" s="25"/>
      <c r="U12" s="25"/>
      <c r="V12" s="25"/>
      <c r="W12" s="25"/>
      <c r="X12" s="25"/>
    </row>
    <row r="13" spans="1:24" s="39" customFormat="1" ht="12" customHeight="1" thickBot="1">
      <c r="A13" s="56"/>
      <c r="B13" s="55"/>
      <c r="C13" s="56"/>
      <c r="D13" s="84"/>
      <c r="E13" s="84"/>
      <c r="F13" s="85" t="s">
        <v>45</v>
      </c>
      <c r="G13" s="56"/>
      <c r="H13" s="55"/>
      <c r="I13" s="55"/>
      <c r="J13" s="86"/>
      <c r="K13" s="86"/>
      <c r="L13" s="91" t="s">
        <v>46</v>
      </c>
      <c r="M13" s="91"/>
      <c r="N13" s="91"/>
      <c r="O13" s="41"/>
      <c r="P13" s="41"/>
      <c r="Q13" s="41"/>
      <c r="R13" s="91"/>
      <c r="S13" s="85"/>
      <c r="T13" s="56"/>
      <c r="U13" s="56"/>
      <c r="V13" s="56"/>
      <c r="W13" s="56"/>
      <c r="X13" s="56"/>
    </row>
    <row r="14" spans="1:24" ht="14.25" customHeight="1" thickBot="1">
      <c r="A14" s="26" t="s">
        <v>44</v>
      </c>
      <c r="B14" s="26">
        <f>B9+1</f>
        <v>1</v>
      </c>
      <c r="C14" s="25"/>
      <c r="D14" s="215">
        <v>38361</v>
      </c>
      <c r="E14" s="75"/>
      <c r="F14" s="20">
        <v>0.15</v>
      </c>
      <c r="G14" s="25"/>
      <c r="H14" s="77">
        <f>H11*F14</f>
        <v>0.37499999999999994</v>
      </c>
      <c r="I14" s="77"/>
      <c r="J14" s="27">
        <f aca="true" t="shared" si="0" ref="J14:J19">VLOOKUP(H14,TABLE,2,TRUE)</f>
        <v>4</v>
      </c>
      <c r="K14" s="27"/>
      <c r="L14" s="79">
        <f>(H14*L11)</f>
        <v>0</v>
      </c>
      <c r="M14" s="79">
        <f>(H14*M11)</f>
        <v>0.2925</v>
      </c>
      <c r="N14" s="79">
        <f>(H14*N11)</f>
        <v>0.0375</v>
      </c>
      <c r="O14" s="79">
        <f>(H14*O11)</f>
        <v>0.029999999999999995</v>
      </c>
      <c r="P14" s="79">
        <f>(H14*P11)</f>
        <v>0.011249999999999998</v>
      </c>
      <c r="Q14" s="79">
        <f>(H14*Q11)</f>
        <v>0.0037499999999999994</v>
      </c>
      <c r="R14" s="79">
        <f>(H14*R11)</f>
        <v>0</v>
      </c>
      <c r="S14" s="79"/>
      <c r="T14" s="25"/>
      <c r="U14" s="25"/>
      <c r="V14" s="25"/>
      <c r="W14" s="25"/>
      <c r="X14" s="25"/>
    </row>
    <row r="15" spans="1:24" ht="14.25" customHeight="1">
      <c r="A15" s="26" t="s">
        <v>44</v>
      </c>
      <c r="B15" s="26">
        <f>B14+1</f>
        <v>2</v>
      </c>
      <c r="C15" s="25"/>
      <c r="D15" s="216">
        <f>D14+7</f>
        <v>38368</v>
      </c>
      <c r="E15" s="75"/>
      <c r="F15" s="20">
        <v>0.16</v>
      </c>
      <c r="G15" s="25"/>
      <c r="H15" s="77">
        <f>H11*F15</f>
        <v>0.3999999999999999</v>
      </c>
      <c r="I15" s="77"/>
      <c r="J15" s="27">
        <f t="shared" si="0"/>
        <v>5</v>
      </c>
      <c r="K15" s="27"/>
      <c r="L15" s="79">
        <f>(H15*L11)</f>
        <v>0</v>
      </c>
      <c r="M15" s="79">
        <f>(H15*M11)</f>
        <v>0.31199999999999994</v>
      </c>
      <c r="N15" s="79">
        <f>(H15*N11)</f>
        <v>0.039999999999999994</v>
      </c>
      <c r="O15" s="79">
        <f>(H15*O11)</f>
        <v>0.031999999999999994</v>
      </c>
      <c r="P15" s="79">
        <f>(H15*P11)</f>
        <v>0.011999999999999997</v>
      </c>
      <c r="Q15" s="79">
        <f>(H15*Q11)</f>
        <v>0.003999999999999999</v>
      </c>
      <c r="R15" s="79">
        <f>(H15*R11)</f>
        <v>0</v>
      </c>
      <c r="S15" s="79"/>
      <c r="T15" s="25"/>
      <c r="U15" s="25"/>
      <c r="V15" s="25"/>
      <c r="W15" s="25"/>
      <c r="X15" s="25"/>
    </row>
    <row r="16" spans="1:24" ht="14.25" customHeight="1">
      <c r="A16" s="26" t="s">
        <v>44</v>
      </c>
      <c r="B16" s="26">
        <f>B15+1</f>
        <v>3</v>
      </c>
      <c r="C16" s="25"/>
      <c r="D16" s="216">
        <f>D15+7</f>
        <v>38375</v>
      </c>
      <c r="E16" s="75"/>
      <c r="F16" s="20">
        <v>0.17</v>
      </c>
      <c r="G16" s="25"/>
      <c r="H16" s="77">
        <f>H11*F16</f>
        <v>0.42499999999999993</v>
      </c>
      <c r="I16" s="77"/>
      <c r="J16" s="27">
        <f t="shared" si="0"/>
        <v>5</v>
      </c>
      <c r="K16" s="27"/>
      <c r="L16" s="79">
        <f>(H16*L11)</f>
        <v>0</v>
      </c>
      <c r="M16" s="79">
        <f>(H16*M11)</f>
        <v>0.33149999999999996</v>
      </c>
      <c r="N16" s="79">
        <f>(H16*N11)</f>
        <v>0.042499999999999996</v>
      </c>
      <c r="O16" s="79">
        <f>(H16*O11)</f>
        <v>0.033999999999999996</v>
      </c>
      <c r="P16" s="79">
        <f>(H16*P11)</f>
        <v>0.012749999999999997</v>
      </c>
      <c r="Q16" s="79">
        <f>(H16*Q11)</f>
        <v>0.0042499999999999994</v>
      </c>
      <c r="R16" s="79">
        <f>(H16*R11)</f>
        <v>0</v>
      </c>
      <c r="S16" s="79"/>
      <c r="T16" s="25"/>
      <c r="U16" s="25"/>
      <c r="V16" s="25"/>
      <c r="W16" s="25"/>
      <c r="X16" s="25"/>
    </row>
    <row r="17" spans="1:24" ht="14.25" customHeight="1">
      <c r="A17" s="26" t="s">
        <v>44</v>
      </c>
      <c r="B17" s="26">
        <f>B16+1</f>
        <v>4</v>
      </c>
      <c r="C17" s="25"/>
      <c r="D17" s="216">
        <f>D16+7</f>
        <v>38382</v>
      </c>
      <c r="E17" s="75"/>
      <c r="F17" s="20">
        <v>0.181</v>
      </c>
      <c r="G17" s="25"/>
      <c r="H17" s="77">
        <f>H11*F17</f>
        <v>0.4524999999999999</v>
      </c>
      <c r="I17" s="77"/>
      <c r="J17" s="27">
        <f t="shared" si="0"/>
        <v>5</v>
      </c>
      <c r="K17" s="27"/>
      <c r="L17" s="79">
        <f>(H17*L11)</f>
        <v>0</v>
      </c>
      <c r="M17" s="79">
        <f>(H17*M11)</f>
        <v>0.35294999999999993</v>
      </c>
      <c r="N17" s="79">
        <f>(H17*N11)</f>
        <v>0.04524999999999999</v>
      </c>
      <c r="O17" s="79">
        <f>(H17*O11)</f>
        <v>0.036199999999999996</v>
      </c>
      <c r="P17" s="79">
        <f>(H17*P11)</f>
        <v>0.013574999999999997</v>
      </c>
      <c r="Q17" s="79">
        <f>(H17*Q11)</f>
        <v>0.0045249999999999995</v>
      </c>
      <c r="R17" s="79">
        <f>(H17*R11)</f>
        <v>0</v>
      </c>
      <c r="S17" s="79"/>
      <c r="T17" s="25"/>
      <c r="U17" s="25"/>
      <c r="V17" s="25"/>
      <c r="W17" s="25"/>
      <c r="X17" s="25"/>
    </row>
    <row r="18" spans="1:24" ht="14.25" customHeight="1">
      <c r="A18" s="26" t="s">
        <v>44</v>
      </c>
      <c r="B18" s="26">
        <f>B17+1</f>
        <v>5</v>
      </c>
      <c r="C18" s="25"/>
      <c r="D18" s="216">
        <f>D17+7</f>
        <v>38389</v>
      </c>
      <c r="E18" s="75"/>
      <c r="F18" s="20">
        <v>0.192</v>
      </c>
      <c r="G18" s="25"/>
      <c r="H18" s="77">
        <f>H11*F18</f>
        <v>0.4799999999999999</v>
      </c>
      <c r="I18" s="77"/>
      <c r="J18" s="27">
        <f t="shared" si="0"/>
        <v>5</v>
      </c>
      <c r="K18" s="27"/>
      <c r="L18" s="79">
        <f>(H18*L11)</f>
        <v>0</v>
      </c>
      <c r="M18" s="79">
        <f>(H18*M11)</f>
        <v>0.37439999999999996</v>
      </c>
      <c r="N18" s="79">
        <f>(H18*N11)</f>
        <v>0.047999999999999994</v>
      </c>
      <c r="O18" s="79">
        <f>(H18*O11)</f>
        <v>0.0384</v>
      </c>
      <c r="P18" s="79">
        <f>(H18*P11)</f>
        <v>0.014399999999999998</v>
      </c>
      <c r="Q18" s="79">
        <f>(H18*Q11)</f>
        <v>0.0048</v>
      </c>
      <c r="R18" s="79">
        <f>(H18*R11)</f>
        <v>0</v>
      </c>
      <c r="S18" s="79"/>
      <c r="T18" s="25"/>
      <c r="U18" s="25"/>
      <c r="V18" s="25"/>
      <c r="W18" s="25"/>
      <c r="X18" s="25"/>
    </row>
    <row r="19" spans="1:24" ht="14.25" customHeight="1">
      <c r="A19" s="26" t="s">
        <v>44</v>
      </c>
      <c r="B19" s="26">
        <f>B18+1</f>
        <v>6</v>
      </c>
      <c r="C19" s="25"/>
      <c r="D19" s="216">
        <f>D18+7</f>
        <v>38396</v>
      </c>
      <c r="E19" s="75"/>
      <c r="F19" s="76">
        <f>1-SUM(F14:F18)</f>
        <v>0.14700000000000002</v>
      </c>
      <c r="G19" s="25"/>
      <c r="H19" s="77">
        <f>H11*F19</f>
        <v>0.3675</v>
      </c>
      <c r="I19" s="77"/>
      <c r="J19" s="27">
        <f t="shared" si="0"/>
        <v>4</v>
      </c>
      <c r="K19" s="27"/>
      <c r="L19" s="79">
        <f>(H19*L11)</f>
        <v>0</v>
      </c>
      <c r="M19" s="79">
        <f>(H19*M11)</f>
        <v>0.28665</v>
      </c>
      <c r="N19" s="79">
        <f>(H19*N11)</f>
        <v>0.03675</v>
      </c>
      <c r="O19" s="79">
        <f>(H19*O11)</f>
        <v>0.0294</v>
      </c>
      <c r="P19" s="79">
        <f>(H19*P11)</f>
        <v>0.011025</v>
      </c>
      <c r="Q19" s="79">
        <f>(H19*Q11)</f>
        <v>0.003675</v>
      </c>
      <c r="R19" s="79">
        <f>(H19*R11)</f>
        <v>0</v>
      </c>
      <c r="S19" s="79"/>
      <c r="T19" s="25"/>
      <c r="U19" s="25"/>
      <c r="V19" s="25"/>
      <c r="W19" s="25"/>
      <c r="X19" s="25"/>
    </row>
    <row r="20" spans="1:24" s="8" customFormat="1" ht="14.25" customHeight="1">
      <c r="A20" s="81"/>
      <c r="B20" s="80"/>
      <c r="C20" s="81"/>
      <c r="D20" s="82"/>
      <c r="E20" s="82"/>
      <c r="F20" s="66"/>
      <c r="G20" s="81"/>
      <c r="H20" s="80"/>
      <c r="I20" s="80"/>
      <c r="J20" s="66"/>
      <c r="K20" s="66"/>
      <c r="M20" s="66"/>
      <c r="N20" s="66"/>
      <c r="O20" s="66"/>
      <c r="P20" s="66"/>
      <c r="Q20" s="66"/>
      <c r="R20" s="66"/>
      <c r="S20" s="81"/>
      <c r="T20" s="81"/>
      <c r="U20" s="81"/>
      <c r="V20" s="81"/>
      <c r="W20" s="81"/>
      <c r="X20" s="81"/>
    </row>
    <row r="21" spans="1:24" ht="12.75">
      <c r="A21" s="25" t="s">
        <v>43</v>
      </c>
      <c r="B21" s="26"/>
      <c r="C21" s="25"/>
      <c r="D21" s="216">
        <f>D29</f>
        <v>38438</v>
      </c>
      <c r="E21" s="33"/>
      <c r="F21" s="76">
        <v>0.135</v>
      </c>
      <c r="G21" s="25"/>
      <c r="H21" s="77">
        <f>(F21*HOURS)</f>
        <v>2.8125</v>
      </c>
      <c r="I21" s="77"/>
      <c r="J21" s="27">
        <f>SUM(J24:J29)</f>
        <v>32</v>
      </c>
      <c r="K21" s="27"/>
      <c r="L21" s="76">
        <v>0</v>
      </c>
      <c r="M21" s="76">
        <f>1-(SUM(N21:R21)+L21)</f>
        <v>0.76</v>
      </c>
      <c r="N21" s="76">
        <v>0.1</v>
      </c>
      <c r="O21" s="76">
        <v>0.09</v>
      </c>
      <c r="P21" s="76">
        <v>0.04</v>
      </c>
      <c r="Q21" s="76">
        <v>0.01</v>
      </c>
      <c r="R21" s="76">
        <v>0</v>
      </c>
      <c r="S21" s="78"/>
      <c r="T21" s="25"/>
      <c r="U21" s="25"/>
      <c r="V21" s="25"/>
      <c r="W21" s="25"/>
      <c r="X21" s="25"/>
    </row>
    <row r="22" spans="1:24" ht="6.75" customHeight="1">
      <c r="A22" s="25"/>
      <c r="B22" s="26"/>
      <c r="C22" s="25"/>
      <c r="D22" s="33"/>
      <c r="E22" s="33"/>
      <c r="F22" s="27"/>
      <c r="G22" s="25"/>
      <c r="H22" s="26"/>
      <c r="I22" s="26"/>
      <c r="J22" s="27"/>
      <c r="K22" s="27"/>
      <c r="M22" s="27"/>
      <c r="N22" s="27"/>
      <c r="O22" s="27"/>
      <c r="P22" s="27"/>
      <c r="Q22" s="27"/>
      <c r="R22" s="27"/>
      <c r="S22" s="25"/>
      <c r="T22" s="25"/>
      <c r="U22" s="25"/>
      <c r="V22" s="25"/>
      <c r="W22" s="25"/>
      <c r="X22" s="25"/>
    </row>
    <row r="23" spans="1:28" s="39" customFormat="1" ht="12" customHeight="1">
      <c r="A23" s="56"/>
      <c r="B23" s="55"/>
      <c r="C23" s="56"/>
      <c r="D23" s="84"/>
      <c r="E23" s="84"/>
      <c r="F23" s="85" t="s">
        <v>45</v>
      </c>
      <c r="G23" s="56"/>
      <c r="H23" s="55"/>
      <c r="I23" s="55"/>
      <c r="J23" s="86"/>
      <c r="K23" s="86"/>
      <c r="L23" s="91" t="s">
        <v>46</v>
      </c>
      <c r="M23" s="91"/>
      <c r="N23" s="91"/>
      <c r="O23" s="41"/>
      <c r="P23" s="41"/>
      <c r="Q23" s="41"/>
      <c r="R23" s="91"/>
      <c r="S23" s="85"/>
      <c r="T23" s="56"/>
      <c r="U23" s="56"/>
      <c r="V23" s="56"/>
      <c r="W23" s="56"/>
      <c r="X23" s="56"/>
      <c r="AB23" s="87"/>
    </row>
    <row r="24" spans="1:24" ht="14.25" customHeight="1">
      <c r="A24" s="26" t="s">
        <v>44</v>
      </c>
      <c r="B24" s="26">
        <f>B19+1</f>
        <v>7</v>
      </c>
      <c r="C24" s="25"/>
      <c r="D24" s="216">
        <f>D19+7</f>
        <v>38403</v>
      </c>
      <c r="E24" s="75"/>
      <c r="F24" s="20">
        <v>0.15</v>
      </c>
      <c r="G24" s="25"/>
      <c r="H24" s="77">
        <f>H21*F24</f>
        <v>0.421875</v>
      </c>
      <c r="I24" s="77"/>
      <c r="J24" s="27">
        <f aca="true" t="shared" si="1" ref="J24:J29">VLOOKUP(H24,TABLE,2,TRUE)</f>
        <v>5</v>
      </c>
      <c r="K24" s="27"/>
      <c r="L24" s="79">
        <f>(H24*L21)</f>
        <v>0</v>
      </c>
      <c r="M24" s="79">
        <f>(H24*M21)</f>
        <v>0.320625</v>
      </c>
      <c r="N24" s="79">
        <f>(H24*N21)</f>
        <v>0.0421875</v>
      </c>
      <c r="O24" s="79">
        <f>(H24*O21)</f>
        <v>0.037968749999999996</v>
      </c>
      <c r="P24" s="79">
        <f>(H24*P21)</f>
        <v>0.016875</v>
      </c>
      <c r="Q24" s="79">
        <f>(H24*Q21)</f>
        <v>0.00421875</v>
      </c>
      <c r="R24" s="79">
        <f>(H24*R21)</f>
        <v>0</v>
      </c>
      <c r="S24" s="79"/>
      <c r="T24" s="25"/>
      <c r="U24" s="25"/>
      <c r="V24" s="25"/>
      <c r="W24" s="25"/>
      <c r="X24" s="25"/>
    </row>
    <row r="25" spans="1:24" ht="14.25" customHeight="1">
      <c r="A25" s="26" t="s">
        <v>44</v>
      </c>
      <c r="B25" s="26">
        <f>B24+1</f>
        <v>8</v>
      </c>
      <c r="C25" s="25"/>
      <c r="D25" s="216">
        <f>D24+7</f>
        <v>38410</v>
      </c>
      <c r="E25" s="75"/>
      <c r="F25" s="20">
        <v>0.16</v>
      </c>
      <c r="G25" s="25"/>
      <c r="H25" s="77">
        <f>H21*F25</f>
        <v>0.45</v>
      </c>
      <c r="I25" s="77"/>
      <c r="J25" s="27">
        <f t="shared" si="1"/>
        <v>5</v>
      </c>
      <c r="K25" s="27"/>
      <c r="L25" s="79">
        <f>(H25*L21)</f>
        <v>0</v>
      </c>
      <c r="M25" s="79">
        <f>(H25*M21)</f>
        <v>0.342</v>
      </c>
      <c r="N25" s="79">
        <f>(H25*N21)</f>
        <v>0.045000000000000005</v>
      </c>
      <c r="O25" s="79">
        <f>(H25*O21)</f>
        <v>0.0405</v>
      </c>
      <c r="P25" s="79">
        <f>(H25*P21)</f>
        <v>0.018000000000000002</v>
      </c>
      <c r="Q25" s="79">
        <f>(H25*Q21)</f>
        <v>0.0045000000000000005</v>
      </c>
      <c r="R25" s="79">
        <f>(H25*R21)</f>
        <v>0</v>
      </c>
      <c r="S25" s="79"/>
      <c r="T25" s="25"/>
      <c r="U25" s="25"/>
      <c r="V25" s="25"/>
      <c r="W25" s="25"/>
      <c r="X25" s="25"/>
    </row>
    <row r="26" spans="1:24" ht="14.25" customHeight="1">
      <c r="A26" s="26" t="s">
        <v>44</v>
      </c>
      <c r="B26" s="26">
        <f>B25+1</f>
        <v>9</v>
      </c>
      <c r="C26" s="25"/>
      <c r="D26" s="216">
        <f>D25+7</f>
        <v>38417</v>
      </c>
      <c r="E26" s="75"/>
      <c r="F26" s="20">
        <v>0.17</v>
      </c>
      <c r="G26" s="25"/>
      <c r="H26" s="77">
        <f>H21*F26</f>
        <v>0.478125</v>
      </c>
      <c r="I26" s="77"/>
      <c r="J26" s="27">
        <f t="shared" si="1"/>
        <v>5</v>
      </c>
      <c r="K26" s="27"/>
      <c r="L26" s="79">
        <f>(H26*L21)</f>
        <v>0</v>
      </c>
      <c r="M26" s="79">
        <f>(H26*M21)</f>
        <v>0.363375</v>
      </c>
      <c r="N26" s="79">
        <f>(H26*N21)</f>
        <v>0.04781250000000001</v>
      </c>
      <c r="O26" s="79">
        <f>(H26*O21)</f>
        <v>0.04303125</v>
      </c>
      <c r="P26" s="79">
        <f>(H26*P21)</f>
        <v>0.019125</v>
      </c>
      <c r="Q26" s="79">
        <f>(H26*Q21)</f>
        <v>0.00478125</v>
      </c>
      <c r="R26" s="79">
        <f>(H26*R21)</f>
        <v>0</v>
      </c>
      <c r="S26" s="79"/>
      <c r="T26" s="25"/>
      <c r="U26" s="25"/>
      <c r="V26" s="25"/>
      <c r="W26" s="25"/>
      <c r="X26" s="25"/>
    </row>
    <row r="27" spans="1:24" ht="14.25" customHeight="1">
      <c r="A27" s="26" t="s">
        <v>44</v>
      </c>
      <c r="B27" s="26">
        <f>B26+1</f>
        <v>10</v>
      </c>
      <c r="C27" s="25"/>
      <c r="D27" s="216">
        <f>D26+7</f>
        <v>38424</v>
      </c>
      <c r="E27" s="75"/>
      <c r="F27" s="20">
        <v>0.181</v>
      </c>
      <c r="G27" s="25"/>
      <c r="H27" s="77">
        <f>H21*F27</f>
        <v>0.5090625</v>
      </c>
      <c r="I27" s="77"/>
      <c r="J27" s="27">
        <f t="shared" si="1"/>
        <v>6</v>
      </c>
      <c r="K27" s="27"/>
      <c r="L27" s="79">
        <f>(H27*L21)</f>
        <v>0</v>
      </c>
      <c r="M27" s="79">
        <f>(H27*M21)</f>
        <v>0.3868875</v>
      </c>
      <c r="N27" s="79">
        <f>(H27*N21)</f>
        <v>0.05090625</v>
      </c>
      <c r="O27" s="79">
        <f>(H27*O21)</f>
        <v>0.045815625</v>
      </c>
      <c r="P27" s="79">
        <f>(H27*P21)</f>
        <v>0.0203625</v>
      </c>
      <c r="Q27" s="79">
        <f>(H27*Q21)</f>
        <v>0.005090625</v>
      </c>
      <c r="R27" s="79">
        <f>(H27*R21)</f>
        <v>0</v>
      </c>
      <c r="S27" s="79"/>
      <c r="T27" s="33"/>
      <c r="U27" s="25"/>
      <c r="V27" s="25"/>
      <c r="W27" s="25"/>
      <c r="X27" s="25"/>
    </row>
    <row r="28" spans="1:24" ht="14.25" customHeight="1">
      <c r="A28" s="26" t="s">
        <v>44</v>
      </c>
      <c r="B28" s="26">
        <f>B27+1</f>
        <v>11</v>
      </c>
      <c r="C28" s="25"/>
      <c r="D28" s="216">
        <f>D27+7</f>
        <v>38431</v>
      </c>
      <c r="E28" s="75"/>
      <c r="F28" s="20">
        <v>0.192</v>
      </c>
      <c r="G28" s="25"/>
      <c r="H28" s="77">
        <f>H21*F28</f>
        <v>0.54</v>
      </c>
      <c r="I28" s="77"/>
      <c r="J28" s="27">
        <f t="shared" si="1"/>
        <v>6</v>
      </c>
      <c r="K28" s="27"/>
      <c r="L28" s="79">
        <f>(H28*L21)</f>
        <v>0</v>
      </c>
      <c r="M28" s="79">
        <f>(H28*M21)</f>
        <v>0.41040000000000004</v>
      </c>
      <c r="N28" s="79">
        <f>(H28*N21)</f>
        <v>0.054000000000000006</v>
      </c>
      <c r="O28" s="79">
        <f>(H28*O21)</f>
        <v>0.048600000000000004</v>
      </c>
      <c r="P28" s="79">
        <f>(H28*P21)</f>
        <v>0.0216</v>
      </c>
      <c r="Q28" s="79">
        <f>(H28*Q21)</f>
        <v>0.0054</v>
      </c>
      <c r="R28" s="79">
        <f>(H28*R21)</f>
        <v>0</v>
      </c>
      <c r="S28" s="79"/>
      <c r="T28" s="33"/>
      <c r="U28" s="25"/>
      <c r="V28" s="25"/>
      <c r="W28" s="25"/>
      <c r="X28" s="25"/>
    </row>
    <row r="29" spans="1:24" ht="14.25" customHeight="1">
      <c r="A29" s="26" t="s">
        <v>44</v>
      </c>
      <c r="B29" s="26">
        <f>B28+1</f>
        <v>12</v>
      </c>
      <c r="C29" s="25"/>
      <c r="D29" s="216">
        <f>D28+7</f>
        <v>38438</v>
      </c>
      <c r="E29" s="75"/>
      <c r="F29" s="76">
        <f>1-SUM(F24:F28)</f>
        <v>0.14700000000000002</v>
      </c>
      <c r="G29" s="25"/>
      <c r="H29" s="77">
        <f>H21*F29</f>
        <v>0.41343750000000007</v>
      </c>
      <c r="I29" s="77"/>
      <c r="J29" s="27">
        <f t="shared" si="1"/>
        <v>5</v>
      </c>
      <c r="K29" s="27"/>
      <c r="L29" s="79">
        <f>(H29*L21)</f>
        <v>0</v>
      </c>
      <c r="M29" s="79">
        <f>(H29*M21)</f>
        <v>0.31421250000000006</v>
      </c>
      <c r="N29" s="79">
        <f>(H29*N21)</f>
        <v>0.04134375000000001</v>
      </c>
      <c r="O29" s="79">
        <f>(H29*O21)</f>
        <v>0.037209375</v>
      </c>
      <c r="P29" s="79">
        <f>(H29*P21)</f>
        <v>0.016537500000000004</v>
      </c>
      <c r="Q29" s="79">
        <f>(H29*Q21)</f>
        <v>0.004134375000000001</v>
      </c>
      <c r="R29" s="79">
        <f>(H29*R21)</f>
        <v>0</v>
      </c>
      <c r="S29" s="79"/>
      <c r="T29" s="33"/>
      <c r="U29" s="25"/>
      <c r="V29" s="25"/>
      <c r="W29" s="25"/>
      <c r="X29" s="25"/>
    </row>
    <row r="30" spans="1:24" s="8" customFormat="1" ht="14.25" customHeight="1">
      <c r="A30" s="81"/>
      <c r="B30" s="80"/>
      <c r="C30" s="81"/>
      <c r="D30" s="82"/>
      <c r="E30" s="82"/>
      <c r="F30" s="66"/>
      <c r="G30" s="81"/>
      <c r="H30" s="80"/>
      <c r="I30" s="80"/>
      <c r="J30" s="66"/>
      <c r="K30" s="66"/>
      <c r="M30" s="66"/>
      <c r="N30" s="66"/>
      <c r="O30" s="66"/>
      <c r="P30" s="66"/>
      <c r="Q30" s="66"/>
      <c r="R30" s="66"/>
      <c r="S30" s="81"/>
      <c r="T30" s="81"/>
      <c r="U30" s="81"/>
      <c r="V30" s="81"/>
      <c r="W30" s="81"/>
      <c r="X30" s="81"/>
    </row>
    <row r="31" spans="1:43" ht="12.75">
      <c r="A31" s="25"/>
      <c r="B31" s="26"/>
      <c r="C31" s="25"/>
      <c r="D31" s="75"/>
      <c r="E31" s="33"/>
      <c r="F31" s="27"/>
      <c r="G31" s="25"/>
      <c r="H31" s="26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5"/>
      <c r="T31" s="25"/>
      <c r="U31" s="25"/>
      <c r="V31" s="25"/>
      <c r="W31" s="25"/>
      <c r="X31" s="25"/>
      <c r="Z31" s="26"/>
      <c r="AA31" s="26"/>
      <c r="AB31" s="25"/>
      <c r="AC31" s="75"/>
      <c r="AD31" s="75"/>
      <c r="AE31" s="76"/>
      <c r="AF31" s="25"/>
      <c r="AG31" s="77"/>
      <c r="AH31" s="77"/>
      <c r="AI31" s="27"/>
      <c r="AJ31" s="27"/>
      <c r="AK31" s="79"/>
      <c r="AL31" s="79"/>
      <c r="AM31" s="79"/>
      <c r="AN31" s="79"/>
      <c r="AO31" s="79"/>
      <c r="AP31" s="79"/>
      <c r="AQ31" s="79"/>
    </row>
    <row r="32" spans="1:24" ht="13.5" thickBot="1">
      <c r="A32" s="25"/>
      <c r="B32" s="26"/>
      <c r="C32" s="25"/>
      <c r="D32" s="33"/>
      <c r="E32" s="33"/>
      <c r="F32" s="27"/>
      <c r="G32" s="25"/>
      <c r="H32" s="26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5"/>
      <c r="U32" s="25"/>
      <c r="V32" s="25"/>
      <c r="W32" s="25"/>
      <c r="X32" s="25"/>
    </row>
    <row r="33" spans="1:24" ht="15.75">
      <c r="A33" s="25"/>
      <c r="B33" s="26"/>
      <c r="C33" s="25"/>
      <c r="D33" s="176" t="s">
        <v>47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77"/>
      <c r="Q33" s="177"/>
      <c r="R33" s="146"/>
      <c r="V33" s="42" t="s">
        <v>0</v>
      </c>
      <c r="W33" s="25" t="s">
        <v>0</v>
      </c>
      <c r="X33" s="25"/>
    </row>
    <row r="34" spans="1:24" ht="13.5" thickBot="1">
      <c r="A34" s="25"/>
      <c r="B34" s="26"/>
      <c r="C34" s="25"/>
      <c r="D34" s="23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3"/>
      <c r="V34" s="25"/>
      <c r="W34" s="25"/>
      <c r="X34" s="25"/>
    </row>
    <row r="35" spans="1:23" s="12" customFormat="1" ht="13.5" customHeight="1" thickBot="1">
      <c r="A35" s="28"/>
      <c r="B35" s="71"/>
      <c r="C35" s="28"/>
      <c r="D35" s="218" t="s">
        <v>48</v>
      </c>
      <c r="E35" s="219" t="s">
        <v>49</v>
      </c>
      <c r="F35" s="220"/>
      <c r="G35" s="220"/>
      <c r="H35" s="221"/>
      <c r="I35" s="221"/>
      <c r="J35" s="221"/>
      <c r="K35" s="221"/>
      <c r="L35" s="222" t="s">
        <v>55</v>
      </c>
      <c r="M35" s="223"/>
      <c r="N35" s="222"/>
      <c r="O35" s="222"/>
      <c r="P35" s="222"/>
      <c r="Q35" s="222"/>
      <c r="R35" s="224"/>
      <c r="T35" s="243" t="s">
        <v>56</v>
      </c>
      <c r="U35" s="244"/>
      <c r="V35" s="239" t="s">
        <v>57</v>
      </c>
      <c r="W35" s="240"/>
    </row>
    <row r="36" spans="3:23" ht="14.25" customHeight="1" thickBot="1">
      <c r="C36" s="25"/>
      <c r="D36" s="231"/>
      <c r="E36" s="234"/>
      <c r="F36" s="234"/>
      <c r="G36" s="234"/>
      <c r="H36" s="234"/>
      <c r="I36" s="234"/>
      <c r="J36" s="234"/>
      <c r="K36" s="234"/>
      <c r="L36" s="206">
        <v>250</v>
      </c>
      <c r="M36" s="32">
        <f aca="true" t="shared" si="2" ref="M36:R36">L36+5</f>
        <v>255</v>
      </c>
      <c r="N36" s="32">
        <f t="shared" si="2"/>
        <v>260</v>
      </c>
      <c r="O36" s="32">
        <f t="shared" si="2"/>
        <v>265</v>
      </c>
      <c r="P36" s="32">
        <f t="shared" si="2"/>
        <v>270</v>
      </c>
      <c r="Q36" s="32">
        <f t="shared" si="2"/>
        <v>275</v>
      </c>
      <c r="R36" s="181">
        <f t="shared" si="2"/>
        <v>280</v>
      </c>
      <c r="T36" s="245"/>
      <c r="U36" s="246"/>
      <c r="V36" s="241"/>
      <c r="W36" s="242"/>
    </row>
    <row r="37" spans="3:23" ht="14.25" customHeight="1">
      <c r="C37" s="25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3"/>
      <c r="T37" s="189" t="s">
        <v>10</v>
      </c>
      <c r="U37" s="191">
        <v>0.20833333333333334</v>
      </c>
      <c r="V37" s="235">
        <v>3</v>
      </c>
      <c r="W37" s="236"/>
    </row>
    <row r="38" spans="3:23" ht="14.25" customHeight="1">
      <c r="C38" s="25"/>
      <c r="D38" s="178">
        <v>1</v>
      </c>
      <c r="E38" s="33" t="s">
        <v>50</v>
      </c>
      <c r="F38" s="193"/>
      <c r="G38" s="193"/>
      <c r="H38" s="27"/>
      <c r="I38" s="27"/>
      <c r="J38" s="27"/>
      <c r="K38" s="27"/>
      <c r="L38" s="34">
        <f aca="true" t="shared" si="3" ref="L38:R38">L36*0.55</f>
        <v>137.5</v>
      </c>
      <c r="M38" s="34">
        <f t="shared" si="3"/>
        <v>140.25</v>
      </c>
      <c r="N38" s="34">
        <f t="shared" si="3"/>
        <v>143</v>
      </c>
      <c r="O38" s="34">
        <f t="shared" si="3"/>
        <v>145.75</v>
      </c>
      <c r="P38" s="34">
        <f t="shared" si="3"/>
        <v>148.5</v>
      </c>
      <c r="Q38" s="34">
        <f t="shared" si="3"/>
        <v>151.25</v>
      </c>
      <c r="R38" s="182">
        <f t="shared" si="3"/>
        <v>154</v>
      </c>
      <c r="T38" s="189" t="s">
        <v>10</v>
      </c>
      <c r="U38" s="191">
        <v>0.2916666666666667</v>
      </c>
      <c r="V38" s="235">
        <v>4</v>
      </c>
      <c r="W38" s="236"/>
    </row>
    <row r="39" spans="3:23" ht="14.25" customHeight="1">
      <c r="C39" s="25"/>
      <c r="D39" s="178">
        <v>2</v>
      </c>
      <c r="E39" s="33" t="s">
        <v>51</v>
      </c>
      <c r="F39" s="193"/>
      <c r="G39" s="193"/>
      <c r="H39" s="27"/>
      <c r="I39" s="27"/>
      <c r="J39" s="27"/>
      <c r="K39" s="27"/>
      <c r="L39" s="34">
        <f aca="true" t="shared" si="4" ref="L39:R39">L36*0.75</f>
        <v>187.5</v>
      </c>
      <c r="M39" s="34">
        <f t="shared" si="4"/>
        <v>191.25</v>
      </c>
      <c r="N39" s="34">
        <f t="shared" si="4"/>
        <v>195</v>
      </c>
      <c r="O39" s="34">
        <f t="shared" si="4"/>
        <v>198.75</v>
      </c>
      <c r="P39" s="34">
        <f t="shared" si="4"/>
        <v>202.5</v>
      </c>
      <c r="Q39" s="34">
        <f t="shared" si="4"/>
        <v>206.25</v>
      </c>
      <c r="R39" s="182">
        <f t="shared" si="4"/>
        <v>210</v>
      </c>
      <c r="T39" s="189" t="s">
        <v>10</v>
      </c>
      <c r="U39" s="191">
        <v>0.3958333333333333</v>
      </c>
      <c r="V39" s="235">
        <v>5</v>
      </c>
      <c r="W39" s="236"/>
    </row>
    <row r="40" spans="1:23" ht="14.25" customHeight="1" thickBot="1">
      <c r="A40" s="25"/>
      <c r="B40" s="26"/>
      <c r="C40" s="25"/>
      <c r="D40" s="178">
        <v>3</v>
      </c>
      <c r="E40" s="33" t="s">
        <v>52</v>
      </c>
      <c r="F40" s="193"/>
      <c r="G40" s="193"/>
      <c r="H40" s="27"/>
      <c r="I40" s="27"/>
      <c r="J40" s="27"/>
      <c r="K40" s="27"/>
      <c r="L40" s="34">
        <f aca="true" t="shared" si="5" ref="L40:R40">L36*0.9</f>
        <v>225</v>
      </c>
      <c r="M40" s="34">
        <f t="shared" si="5"/>
        <v>229.5</v>
      </c>
      <c r="N40" s="34">
        <f t="shared" si="5"/>
        <v>234</v>
      </c>
      <c r="O40" s="34">
        <f t="shared" si="5"/>
        <v>238.5</v>
      </c>
      <c r="P40" s="34">
        <f t="shared" si="5"/>
        <v>243</v>
      </c>
      <c r="Q40" s="34">
        <f t="shared" si="5"/>
        <v>247.5</v>
      </c>
      <c r="R40" s="182">
        <f t="shared" si="5"/>
        <v>252</v>
      </c>
      <c r="T40" s="190" t="s">
        <v>10</v>
      </c>
      <c r="U40" s="192">
        <v>0.5</v>
      </c>
      <c r="V40" s="237">
        <v>6</v>
      </c>
      <c r="W40" s="238"/>
    </row>
    <row r="41" spans="1:24" ht="14.25" customHeight="1">
      <c r="A41" s="25"/>
      <c r="B41" s="26"/>
      <c r="C41" s="25"/>
      <c r="D41" s="178">
        <v>4</v>
      </c>
      <c r="E41" s="33" t="s">
        <v>53</v>
      </c>
      <c r="F41" s="193"/>
      <c r="G41" s="193"/>
      <c r="H41" s="27"/>
      <c r="I41" s="27"/>
      <c r="J41" s="27"/>
      <c r="K41" s="27"/>
      <c r="L41" s="34">
        <f aca="true" t="shared" si="6" ref="L41:R41">L36*1.05</f>
        <v>262.5</v>
      </c>
      <c r="M41" s="34">
        <f t="shared" si="6"/>
        <v>267.75</v>
      </c>
      <c r="N41" s="34">
        <f t="shared" si="6"/>
        <v>273</v>
      </c>
      <c r="O41" s="34">
        <f t="shared" si="6"/>
        <v>278.25</v>
      </c>
      <c r="P41" s="34">
        <f t="shared" si="6"/>
        <v>283.5</v>
      </c>
      <c r="Q41" s="34">
        <f t="shared" si="6"/>
        <v>288.75</v>
      </c>
      <c r="R41" s="182">
        <f t="shared" si="6"/>
        <v>294</v>
      </c>
      <c r="V41" s="25"/>
      <c r="W41" s="25"/>
      <c r="X41" s="25"/>
    </row>
    <row r="42" spans="1:24" ht="14.25" customHeight="1" thickBot="1">
      <c r="A42" s="25"/>
      <c r="B42" s="26"/>
      <c r="C42" s="25"/>
      <c r="D42" s="183">
        <v>5</v>
      </c>
      <c r="E42" s="184" t="s">
        <v>54</v>
      </c>
      <c r="F42" s="194"/>
      <c r="G42" s="194"/>
      <c r="H42" s="186"/>
      <c r="I42" s="186"/>
      <c r="J42" s="186"/>
      <c r="K42" s="186"/>
      <c r="L42" s="187">
        <f aca="true" t="shared" si="7" ref="L42:R42">L36*1.2</f>
        <v>300</v>
      </c>
      <c r="M42" s="187">
        <f t="shared" si="7"/>
        <v>306</v>
      </c>
      <c r="N42" s="187">
        <f t="shared" si="7"/>
        <v>312</v>
      </c>
      <c r="O42" s="187">
        <f t="shared" si="7"/>
        <v>318</v>
      </c>
      <c r="P42" s="187">
        <f t="shared" si="7"/>
        <v>324</v>
      </c>
      <c r="Q42" s="187">
        <f t="shared" si="7"/>
        <v>330</v>
      </c>
      <c r="R42" s="188">
        <f t="shared" si="7"/>
        <v>336</v>
      </c>
      <c r="V42" s="25"/>
      <c r="W42" s="25"/>
      <c r="X42" s="25"/>
    </row>
    <row r="43" spans="1:24" ht="12.75">
      <c r="A43" s="25"/>
      <c r="B43" s="26"/>
      <c r="C43" s="25"/>
      <c r="D43" s="33"/>
      <c r="E43" s="33"/>
      <c r="F43" s="27"/>
      <c r="G43" s="25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5"/>
      <c r="T43" s="25"/>
      <c r="U43" s="25"/>
      <c r="V43" s="25"/>
      <c r="W43" s="25"/>
      <c r="X43" s="25"/>
    </row>
    <row r="44" spans="1:43" ht="12.75">
      <c r="A44" s="25"/>
      <c r="B44" s="26"/>
      <c r="C44" s="25"/>
      <c r="D44" s="75"/>
      <c r="E44" s="33"/>
      <c r="F44" s="27"/>
      <c r="G44" s="25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5"/>
      <c r="T44" s="25"/>
      <c r="U44" s="25"/>
      <c r="V44" s="25"/>
      <c r="W44" s="25"/>
      <c r="X44" s="25"/>
      <c r="Z44" s="26"/>
      <c r="AA44" s="26"/>
      <c r="AB44" s="25"/>
      <c r="AC44" s="75"/>
      <c r="AD44" s="75"/>
      <c r="AE44" s="76"/>
      <c r="AF44" s="25"/>
      <c r="AG44" s="77"/>
      <c r="AH44" s="77"/>
      <c r="AI44" s="27"/>
      <c r="AJ44" s="27"/>
      <c r="AK44" s="79"/>
      <c r="AL44" s="79"/>
      <c r="AM44" s="79"/>
      <c r="AN44" s="79"/>
      <c r="AO44" s="79"/>
      <c r="AP44" s="79"/>
      <c r="AQ44" s="79"/>
    </row>
    <row r="45" spans="1:24" ht="18">
      <c r="A45" s="35" t="s">
        <v>58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8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5.75">
      <c r="A47" s="60" t="s">
        <v>31</v>
      </c>
      <c r="B47" s="55"/>
      <c r="C47" s="56"/>
      <c r="D47" s="57" t="s">
        <v>32</v>
      </c>
      <c r="E47" s="57"/>
      <c r="F47" s="40" t="s">
        <v>33</v>
      </c>
      <c r="G47" s="41"/>
      <c r="H47" s="41"/>
      <c r="I47" s="59" t="s">
        <v>0</v>
      </c>
      <c r="J47" s="58" t="s">
        <v>34</v>
      </c>
      <c r="K47" s="58"/>
      <c r="L47" s="92" t="s">
        <v>35</v>
      </c>
      <c r="M47" s="92"/>
      <c r="N47" s="59"/>
      <c r="O47" s="59"/>
      <c r="P47" s="59"/>
      <c r="Q47" s="59"/>
      <c r="R47" s="59"/>
      <c r="S47" s="59" t="s">
        <v>0</v>
      </c>
      <c r="T47" s="60" t="s">
        <v>36</v>
      </c>
      <c r="U47" s="39"/>
      <c r="V47" s="39"/>
      <c r="W47" s="39"/>
      <c r="X47" s="39"/>
    </row>
    <row r="48" spans="1:24" ht="16.5">
      <c r="A48" s="62"/>
      <c r="B48" s="61"/>
      <c r="C48" s="62"/>
      <c r="D48" s="63"/>
      <c r="E48" s="63"/>
      <c r="F48" s="64" t="s">
        <v>39</v>
      </c>
      <c r="G48" s="62"/>
      <c r="H48" s="64" t="s">
        <v>38</v>
      </c>
      <c r="I48" s="64"/>
      <c r="J48" s="64"/>
      <c r="K48" s="64"/>
      <c r="L48" s="40" t="s">
        <v>37</v>
      </c>
      <c r="M48" s="40"/>
      <c r="N48" s="41"/>
      <c r="O48" s="41"/>
      <c r="P48" s="41"/>
      <c r="Q48" s="41"/>
      <c r="R48" s="41"/>
      <c r="S48" s="65" t="s">
        <v>0</v>
      </c>
      <c r="T48" s="62"/>
      <c r="U48" s="6"/>
      <c r="V48" s="6"/>
      <c r="W48" s="6"/>
      <c r="X48" s="6"/>
    </row>
    <row r="49" spans="1:20" ht="16.5" customHeight="1">
      <c r="A49" s="25"/>
      <c r="B49" s="26"/>
      <c r="C49" s="25"/>
      <c r="D49" s="33"/>
      <c r="E49" s="33"/>
      <c r="F49" s="27"/>
      <c r="G49" s="25"/>
      <c r="H49" s="26"/>
      <c r="I49" s="26"/>
      <c r="J49" s="27"/>
      <c r="K49" s="27"/>
      <c r="L49" s="27" t="s">
        <v>5</v>
      </c>
      <c r="M49" s="27" t="s">
        <v>1</v>
      </c>
      <c r="N49" s="27" t="s">
        <v>2</v>
      </c>
      <c r="O49" s="27" t="s">
        <v>3</v>
      </c>
      <c r="P49" s="27" t="s">
        <v>7</v>
      </c>
      <c r="Q49" s="27" t="s">
        <v>8</v>
      </c>
      <c r="R49" s="33" t="s">
        <v>40</v>
      </c>
      <c r="S49" s="25"/>
      <c r="T49" s="25"/>
    </row>
    <row r="52" spans="1:22" s="45" customFormat="1" ht="12.75">
      <c r="A52" s="45" t="s">
        <v>59</v>
      </c>
      <c r="B52" s="46"/>
      <c r="D52" s="225">
        <f>D73</f>
        <v>38550</v>
      </c>
      <c r="E52" s="47"/>
      <c r="F52" s="48">
        <f>SUM(F54,F63,F73)</f>
        <v>0.376</v>
      </c>
      <c r="H52" s="49">
        <f>(F52*HOURS)</f>
        <v>7.833333333333333</v>
      </c>
      <c r="I52" s="49"/>
      <c r="J52" s="50">
        <f>SUM(J54,J63,J73)</f>
        <v>84</v>
      </c>
      <c r="K52" s="50"/>
      <c r="L52" s="51" t="s">
        <v>4</v>
      </c>
      <c r="M52" s="51" t="s">
        <v>4</v>
      </c>
      <c r="N52" s="51" t="s">
        <v>4</v>
      </c>
      <c r="O52" s="51" t="s">
        <v>4</v>
      </c>
      <c r="P52" s="51" t="s">
        <v>4</v>
      </c>
      <c r="Q52" s="51" t="s">
        <v>4</v>
      </c>
      <c r="R52" s="51" t="s">
        <v>4</v>
      </c>
      <c r="S52" s="51"/>
      <c r="T52" s="12"/>
      <c r="U52" s="12"/>
      <c r="V52" s="12"/>
    </row>
    <row r="53" spans="1:24" ht="14.25" customHeight="1">
      <c r="A53" s="12"/>
      <c r="B53" s="13"/>
      <c r="C53" s="12"/>
      <c r="D53" s="14"/>
      <c r="E53" s="14"/>
      <c r="F53" s="15"/>
      <c r="G53" s="12"/>
      <c r="H53" s="16"/>
      <c r="I53" s="16"/>
      <c r="J53" s="17"/>
      <c r="K53" s="17"/>
      <c r="L53" s="18"/>
      <c r="M53" s="18"/>
      <c r="N53" s="18"/>
      <c r="O53" s="18"/>
      <c r="P53" s="18"/>
      <c r="Q53" s="18"/>
      <c r="R53" s="18"/>
      <c r="S53" s="18"/>
      <c r="T53" s="12"/>
      <c r="U53" s="12"/>
      <c r="V53" s="12"/>
      <c r="W53" s="12"/>
      <c r="X53" s="12"/>
    </row>
    <row r="54" spans="1:19" ht="12.75">
      <c r="A54" s="2" t="s">
        <v>60</v>
      </c>
      <c r="D54" s="217">
        <f>D61</f>
        <v>38473</v>
      </c>
      <c r="F54" s="20">
        <v>0.113</v>
      </c>
      <c r="H54" s="21">
        <f>(F54*HOURS)</f>
        <v>2.3541666666666665</v>
      </c>
      <c r="I54" s="21"/>
      <c r="J54" s="5">
        <f>SUM(J57:J61)</f>
        <v>26</v>
      </c>
      <c r="L54" s="76">
        <v>0</v>
      </c>
      <c r="M54" s="76">
        <f>1-(SUM(N54:R54)+L54)</f>
        <v>0.6950000000000001</v>
      </c>
      <c r="N54" s="20">
        <v>0.145</v>
      </c>
      <c r="O54" s="20">
        <v>0.02</v>
      </c>
      <c r="P54" s="20">
        <v>0.02</v>
      </c>
      <c r="Q54" s="20">
        <v>0.01</v>
      </c>
      <c r="R54" s="20">
        <v>0.11</v>
      </c>
      <c r="S54" s="22"/>
    </row>
    <row r="55" ht="6.75" customHeight="1">
      <c r="M55" s="27"/>
    </row>
    <row r="56" spans="2:19" s="39" customFormat="1" ht="12.75" customHeight="1" thickBot="1">
      <c r="B56" s="38"/>
      <c r="D56" s="88"/>
      <c r="E56" s="88"/>
      <c r="F56" s="89" t="s">
        <v>45</v>
      </c>
      <c r="H56" s="38"/>
      <c r="I56" s="38"/>
      <c r="J56" s="90"/>
      <c r="K56" s="90"/>
      <c r="L56" s="91" t="s">
        <v>46</v>
      </c>
      <c r="M56" s="91"/>
      <c r="N56" s="91"/>
      <c r="O56" s="41"/>
      <c r="P56" s="41"/>
      <c r="Q56" s="41"/>
      <c r="R56" s="91"/>
      <c r="S56" s="89"/>
    </row>
    <row r="57" spans="1:19" ht="14.25" customHeight="1" thickBot="1">
      <c r="A57" s="3" t="s">
        <v>44</v>
      </c>
      <c r="B57" s="3">
        <f>B29+1</f>
        <v>13</v>
      </c>
      <c r="D57" s="215">
        <f>D21+7</f>
        <v>38445</v>
      </c>
      <c r="E57" s="19"/>
      <c r="F57" s="20">
        <v>0.169</v>
      </c>
      <c r="H57" s="21">
        <f>H54*F57</f>
        <v>0.3978541666666667</v>
      </c>
      <c r="I57" s="21"/>
      <c r="J57" s="5">
        <f>VLOOKUP(H57,TABLE,2,TRUE)</f>
        <v>5</v>
      </c>
      <c r="L57" s="79">
        <f>(H57*L54)</f>
        <v>0</v>
      </c>
      <c r="M57" s="79">
        <f>(H57*M54)</f>
        <v>0.27650864583333334</v>
      </c>
      <c r="N57" s="79">
        <f>(H57*N54)</f>
        <v>0.057688854166666664</v>
      </c>
      <c r="O57" s="79">
        <f>(H57*O54)</f>
        <v>0.007957083333333333</v>
      </c>
      <c r="P57" s="79">
        <f>(H57*P54)</f>
        <v>0.007957083333333333</v>
      </c>
      <c r="Q57" s="79">
        <f>(H57*Q54)</f>
        <v>0.003978541666666667</v>
      </c>
      <c r="R57" s="79">
        <f>(H57*R54)</f>
        <v>0.04376395833333333</v>
      </c>
      <c r="S57"/>
    </row>
    <row r="58" spans="1:19" ht="14.25" customHeight="1">
      <c r="A58" s="3" t="s">
        <v>44</v>
      </c>
      <c r="B58" s="3">
        <f>B57+1</f>
        <v>14</v>
      </c>
      <c r="D58" s="216">
        <f>D57+7</f>
        <v>38452</v>
      </c>
      <c r="E58" s="19"/>
      <c r="F58" s="20">
        <v>0.199</v>
      </c>
      <c r="H58" s="21">
        <f>H54*F58</f>
        <v>0.46847916666666667</v>
      </c>
      <c r="I58" s="21"/>
      <c r="J58" s="5">
        <f>VLOOKUP(H58,TABLE,2,TRUE)</f>
        <v>5</v>
      </c>
      <c r="L58" s="79">
        <f>(H58*L54)</f>
        <v>0</v>
      </c>
      <c r="M58" s="79">
        <f>(H58*M54)</f>
        <v>0.32559302083333336</v>
      </c>
      <c r="N58" s="79">
        <f>(H58*N54)</f>
        <v>0.06792947916666667</v>
      </c>
      <c r="O58" s="79">
        <f>(H58*O54)</f>
        <v>0.009369583333333334</v>
      </c>
      <c r="P58" s="79">
        <f>(H58*P54)</f>
        <v>0.009369583333333334</v>
      </c>
      <c r="Q58" s="79">
        <f>(H58*Q54)</f>
        <v>0.004684791666666667</v>
      </c>
      <c r="R58" s="79">
        <f>(H58*R54)</f>
        <v>0.05153270833333334</v>
      </c>
      <c r="S58" s="24"/>
    </row>
    <row r="59" spans="1:19" ht="14.25" customHeight="1">
      <c r="A59" s="3" t="s">
        <v>44</v>
      </c>
      <c r="B59" s="3">
        <f>B58+1</f>
        <v>15</v>
      </c>
      <c r="D59" s="216">
        <f>D58+7</f>
        <v>38459</v>
      </c>
      <c r="E59" s="19"/>
      <c r="F59" s="20">
        <v>0.229</v>
      </c>
      <c r="H59" s="21">
        <f>H54*F59</f>
        <v>0.5391041666666666</v>
      </c>
      <c r="I59" s="21"/>
      <c r="J59" s="5">
        <f>VLOOKUP(H59,TABLE,2,TRUE)</f>
        <v>6</v>
      </c>
      <c r="L59" s="79">
        <f>(H59*L54)</f>
        <v>0</v>
      </c>
      <c r="M59" s="79">
        <f>(H59*M54)</f>
        <v>0.3746773958333333</v>
      </c>
      <c r="N59" s="79">
        <f>(H59*N54)</f>
        <v>0.07817010416666666</v>
      </c>
      <c r="O59" s="79">
        <f>(H59*O54)</f>
        <v>0.010782083333333333</v>
      </c>
      <c r="P59" s="79">
        <f>(H59*P54)</f>
        <v>0.010782083333333333</v>
      </c>
      <c r="Q59" s="79">
        <f>(H59*Q54)</f>
        <v>0.005391041666666666</v>
      </c>
      <c r="R59" s="79">
        <f>(H59*R54)</f>
        <v>0.05930145833333333</v>
      </c>
      <c r="S59" s="24"/>
    </row>
    <row r="60" spans="1:19" ht="14.25" customHeight="1">
      <c r="A60" s="3" t="s">
        <v>44</v>
      </c>
      <c r="B60" s="3">
        <f>B59+1</f>
        <v>16</v>
      </c>
      <c r="D60" s="216">
        <f>D59+7</f>
        <v>38466</v>
      </c>
      <c r="E60" s="19"/>
      <c r="F60" s="20">
        <v>0.261</v>
      </c>
      <c r="H60" s="21">
        <f>H54*F60</f>
        <v>0.6144375</v>
      </c>
      <c r="I60" s="21"/>
      <c r="J60" s="5">
        <f>VLOOKUP(H60,TABLE,2,TRUE)</f>
        <v>6</v>
      </c>
      <c r="L60" s="79">
        <f>(H60*L54)</f>
        <v>0</v>
      </c>
      <c r="M60" s="79">
        <f>(H60*M54)</f>
        <v>0.42703406250000003</v>
      </c>
      <c r="N60" s="79">
        <f>(H60*N54)</f>
        <v>0.08909343749999998</v>
      </c>
      <c r="O60" s="79">
        <f>(H60*O54)</f>
        <v>0.01228875</v>
      </c>
      <c r="P60" s="79">
        <f>(H60*P54)</f>
        <v>0.01228875</v>
      </c>
      <c r="Q60" s="79">
        <f>(H60*Q54)</f>
        <v>0.006144375</v>
      </c>
      <c r="R60" s="79">
        <f>(H60*R54)</f>
        <v>0.067588125</v>
      </c>
      <c r="S60" s="24"/>
    </row>
    <row r="61" spans="1:19" ht="14.25" customHeight="1">
      <c r="A61" s="3" t="s">
        <v>44</v>
      </c>
      <c r="B61" s="3">
        <f>B60+1</f>
        <v>17</v>
      </c>
      <c r="D61" s="216">
        <f>D60+7</f>
        <v>38473</v>
      </c>
      <c r="E61" s="19"/>
      <c r="F61" s="76">
        <f>1-SUM(F57:F60)</f>
        <v>0.14200000000000002</v>
      </c>
      <c r="H61" s="21">
        <f>H54*F61</f>
        <v>0.33429166666666665</v>
      </c>
      <c r="I61" s="21"/>
      <c r="J61" s="5">
        <f>VLOOKUP(H61,TABLE,2,TRUE)</f>
        <v>4</v>
      </c>
      <c r="L61" s="79">
        <f>(H61*L54)</f>
        <v>0</v>
      </c>
      <c r="M61" s="79">
        <f>(H61*M54)</f>
        <v>0.23233270833333333</v>
      </c>
      <c r="N61" s="79">
        <f>(H61*N54)</f>
        <v>0.04847229166666666</v>
      </c>
      <c r="O61" s="79">
        <f>(H61*O54)</f>
        <v>0.0066858333333333336</v>
      </c>
      <c r="P61" s="79">
        <f>(H61*P54)</f>
        <v>0.0066858333333333336</v>
      </c>
      <c r="Q61" s="79">
        <f>(H61*Q54)</f>
        <v>0.0033429166666666668</v>
      </c>
      <c r="R61" s="79">
        <f>(H61*R54)</f>
        <v>0.03677208333333333</v>
      </c>
      <c r="S61" s="24"/>
    </row>
    <row r="62" spans="2:24" ht="14.25" customHeight="1">
      <c r="B62" s="9"/>
      <c r="C62" s="8"/>
      <c r="D62" s="10"/>
      <c r="E62" s="10"/>
      <c r="F62" s="11"/>
      <c r="G62" s="8"/>
      <c r="H62" s="9"/>
      <c r="I62" s="9"/>
      <c r="J62" s="11"/>
      <c r="K62" s="11"/>
      <c r="L62" s="79"/>
      <c r="M62" s="79"/>
      <c r="N62" s="79"/>
      <c r="O62" s="79"/>
      <c r="P62" s="79"/>
      <c r="Q62" s="79"/>
      <c r="R62" s="79"/>
      <c r="S62" s="8"/>
      <c r="T62" s="8"/>
      <c r="U62" s="8"/>
      <c r="V62" s="8"/>
      <c r="W62" s="8"/>
      <c r="X62" s="8"/>
    </row>
    <row r="63" spans="1:19" ht="12.75">
      <c r="A63" s="2" t="s">
        <v>61</v>
      </c>
      <c r="D63" s="217">
        <f>D71</f>
        <v>38515</v>
      </c>
      <c r="F63" s="20">
        <v>0.15</v>
      </c>
      <c r="H63" s="21">
        <f>(F63*HOURS)</f>
        <v>3.1249999999999996</v>
      </c>
      <c r="I63" s="21"/>
      <c r="J63" s="5">
        <f>SUM(J66:J71)</f>
        <v>32</v>
      </c>
      <c r="L63" s="76">
        <v>0.02</v>
      </c>
      <c r="M63" s="76">
        <f>1-(SUM(N63:R63)+L63)</f>
        <v>0.62</v>
      </c>
      <c r="N63" s="20">
        <v>0.175</v>
      </c>
      <c r="O63" s="20">
        <v>0.02</v>
      </c>
      <c r="P63" s="20">
        <v>0.015</v>
      </c>
      <c r="Q63" s="20">
        <v>0.01</v>
      </c>
      <c r="R63" s="20">
        <v>0.14</v>
      </c>
      <c r="S63" s="22"/>
    </row>
    <row r="64" ht="6.75" customHeight="1">
      <c r="M64" s="27"/>
    </row>
    <row r="65" spans="2:19" s="39" customFormat="1" ht="12.75" customHeight="1">
      <c r="B65" s="38"/>
      <c r="D65" s="88"/>
      <c r="E65" s="88"/>
      <c r="F65" s="89" t="s">
        <v>45</v>
      </c>
      <c r="H65" s="38"/>
      <c r="I65" s="38"/>
      <c r="J65" s="90"/>
      <c r="K65" s="90"/>
      <c r="L65" s="91" t="s">
        <v>46</v>
      </c>
      <c r="M65" s="91"/>
      <c r="N65" s="91"/>
      <c r="O65" s="41"/>
      <c r="P65" s="41"/>
      <c r="Q65" s="41"/>
      <c r="R65" s="91"/>
      <c r="S65" s="89"/>
    </row>
    <row r="66" spans="1:19" ht="14.25" customHeight="1">
      <c r="A66" s="26" t="s">
        <v>44</v>
      </c>
      <c r="B66" s="26">
        <f>B61+1</f>
        <v>18</v>
      </c>
      <c r="C66" s="25"/>
      <c r="D66" s="216">
        <f>D61+7</f>
        <v>38480</v>
      </c>
      <c r="E66" s="75"/>
      <c r="F66" s="20">
        <v>0.141</v>
      </c>
      <c r="G66" s="25"/>
      <c r="H66" s="77">
        <f>H63*F66</f>
        <v>0.4406249999999999</v>
      </c>
      <c r="I66" s="77"/>
      <c r="J66" s="27">
        <f aca="true" t="shared" si="8" ref="J66:J71">VLOOKUP(H66,TABLE,2,TRUE)</f>
        <v>5</v>
      </c>
      <c r="K66" s="27"/>
      <c r="L66" s="79">
        <f>(H66*L63)</f>
        <v>0.008812499999999997</v>
      </c>
      <c r="M66" s="79">
        <f>(H66*M63)</f>
        <v>0.2731874999999999</v>
      </c>
      <c r="N66" s="79">
        <f>(H66*N63)</f>
        <v>0.07710937499999998</v>
      </c>
      <c r="O66" s="79">
        <f>(H66*O63)</f>
        <v>0.008812499999999997</v>
      </c>
      <c r="P66" s="79">
        <f>(H66*P63)</f>
        <v>0.006609374999999998</v>
      </c>
      <c r="Q66" s="79">
        <f>(H66*Q63)</f>
        <v>0.004406249999999999</v>
      </c>
      <c r="R66" s="79">
        <f>(H66*R63)</f>
        <v>0.061687499999999985</v>
      </c>
      <c r="S66" s="24"/>
    </row>
    <row r="67" spans="1:19" ht="14.25" customHeight="1">
      <c r="A67" s="26" t="s">
        <v>44</v>
      </c>
      <c r="B67" s="26">
        <f>B66+1</f>
        <v>19</v>
      </c>
      <c r="C67" s="25"/>
      <c r="D67" s="216">
        <f>D66+7</f>
        <v>38487</v>
      </c>
      <c r="E67" s="75"/>
      <c r="F67" s="20">
        <v>0.1585</v>
      </c>
      <c r="G67" s="25"/>
      <c r="H67" s="77">
        <f>H63*F67</f>
        <v>0.49531249999999993</v>
      </c>
      <c r="I67" s="77"/>
      <c r="J67" s="27">
        <f t="shared" si="8"/>
        <v>5</v>
      </c>
      <c r="K67" s="27"/>
      <c r="L67" s="79">
        <f>(H67*L63)</f>
        <v>0.009906249999999998</v>
      </c>
      <c r="M67" s="79">
        <f>(H67*M63)</f>
        <v>0.30709374999999994</v>
      </c>
      <c r="N67" s="79">
        <f>(H67*N63)</f>
        <v>0.08667968749999998</v>
      </c>
      <c r="O67" s="79">
        <f>(H67*O63)</f>
        <v>0.009906249999999998</v>
      </c>
      <c r="P67" s="79">
        <f>(H67*P63)</f>
        <v>0.007429687499999999</v>
      </c>
      <c r="Q67" s="79">
        <f>(H67*Q63)</f>
        <v>0.004953124999999999</v>
      </c>
      <c r="R67" s="79">
        <f>(H67*R63)</f>
        <v>0.06934375</v>
      </c>
      <c r="S67" s="24"/>
    </row>
    <row r="68" spans="1:19" ht="14.25" customHeight="1">
      <c r="A68" s="26" t="s">
        <v>44</v>
      </c>
      <c r="B68" s="26">
        <f>B67+1</f>
        <v>20</v>
      </c>
      <c r="C68" s="25"/>
      <c r="D68" s="216">
        <f>D67+7</f>
        <v>38494</v>
      </c>
      <c r="E68" s="75"/>
      <c r="F68" s="20">
        <v>0.176</v>
      </c>
      <c r="G68" s="25"/>
      <c r="H68" s="77">
        <f>H63*F68</f>
        <v>0.5499999999999999</v>
      </c>
      <c r="I68" s="77"/>
      <c r="J68" s="27">
        <f t="shared" si="8"/>
        <v>6</v>
      </c>
      <c r="K68" s="27"/>
      <c r="L68" s="79">
        <f>(H68*L63)</f>
        <v>0.011</v>
      </c>
      <c r="M68" s="79">
        <f>(H68*M63)</f>
        <v>0.34099999999999997</v>
      </c>
      <c r="N68" s="79">
        <f>(H68*N63)</f>
        <v>0.09624999999999999</v>
      </c>
      <c r="O68" s="79">
        <f>(H68*O63)</f>
        <v>0.011</v>
      </c>
      <c r="P68" s="79">
        <f>(H68*P63)</f>
        <v>0.008249999999999999</v>
      </c>
      <c r="Q68" s="79">
        <f>(H68*Q63)</f>
        <v>0.0055</v>
      </c>
      <c r="R68" s="79">
        <f>(H68*R63)</f>
        <v>0.077</v>
      </c>
      <c r="S68" s="24"/>
    </row>
    <row r="69" spans="1:19" ht="14.25" customHeight="1">
      <c r="A69" s="26" t="s">
        <v>44</v>
      </c>
      <c r="B69" s="26">
        <f>B68+1</f>
        <v>21</v>
      </c>
      <c r="C69" s="25"/>
      <c r="D69" s="216">
        <f>D68+7</f>
        <v>38501</v>
      </c>
      <c r="E69" s="75"/>
      <c r="F69" s="20">
        <v>0.1935</v>
      </c>
      <c r="G69" s="25"/>
      <c r="H69" s="77">
        <f>H63*F69</f>
        <v>0.6046874999999999</v>
      </c>
      <c r="I69" s="77"/>
      <c r="J69" s="27">
        <f t="shared" si="8"/>
        <v>6</v>
      </c>
      <c r="K69" s="27"/>
      <c r="L69" s="79">
        <f>(H69*L63)</f>
        <v>0.012093749999999999</v>
      </c>
      <c r="M69" s="79">
        <f>(H69*M63)</f>
        <v>0.37490624999999994</v>
      </c>
      <c r="N69" s="79">
        <f>(H69*N63)</f>
        <v>0.10582031249999999</v>
      </c>
      <c r="O69" s="79">
        <f>(H69*O63)</f>
        <v>0.012093749999999999</v>
      </c>
      <c r="P69" s="79">
        <f>(H69*P63)</f>
        <v>0.009070312499999999</v>
      </c>
      <c r="Q69" s="79">
        <f>(H69*Q63)</f>
        <v>0.006046874999999999</v>
      </c>
      <c r="R69" s="79">
        <f>(H69*R63)</f>
        <v>0.08465625</v>
      </c>
      <c r="S69" s="24"/>
    </row>
    <row r="70" spans="1:19" ht="14.25" customHeight="1">
      <c r="A70" s="26" t="s">
        <v>44</v>
      </c>
      <c r="B70" s="26">
        <f>B69+1</f>
        <v>22</v>
      </c>
      <c r="C70" s="25"/>
      <c r="D70" s="216">
        <f>D69+7</f>
        <v>38508</v>
      </c>
      <c r="E70" s="75"/>
      <c r="F70" s="20">
        <v>0.211</v>
      </c>
      <c r="G70" s="25"/>
      <c r="H70" s="77">
        <f>H63*F70</f>
        <v>0.6593749999999999</v>
      </c>
      <c r="I70" s="77"/>
      <c r="J70" s="27">
        <f t="shared" si="8"/>
        <v>6</v>
      </c>
      <c r="K70" s="27"/>
      <c r="L70" s="79">
        <f>(H70*L63)</f>
        <v>0.0131875</v>
      </c>
      <c r="M70" s="79">
        <f>(H70*M63)</f>
        <v>0.40881249999999997</v>
      </c>
      <c r="N70" s="79">
        <f>(H70*N63)</f>
        <v>0.11539062499999998</v>
      </c>
      <c r="O70" s="79">
        <f>(H70*O63)</f>
        <v>0.0131875</v>
      </c>
      <c r="P70" s="79">
        <f>(H70*P63)</f>
        <v>0.009890624999999998</v>
      </c>
      <c r="Q70" s="79">
        <f>(H70*Q63)</f>
        <v>0.00659375</v>
      </c>
      <c r="R70" s="79">
        <f>(H70*R63)</f>
        <v>0.0923125</v>
      </c>
      <c r="S70" s="24"/>
    </row>
    <row r="71" spans="1:19" ht="14.25" customHeight="1">
      <c r="A71" s="26" t="s">
        <v>44</v>
      </c>
      <c r="B71" s="26">
        <f>B70+1</f>
        <v>23</v>
      </c>
      <c r="C71" s="25"/>
      <c r="D71" s="216">
        <f>D70+7</f>
        <v>38515</v>
      </c>
      <c r="E71" s="75"/>
      <c r="F71" s="76">
        <f>1-SUM(F66:F70)</f>
        <v>0.12</v>
      </c>
      <c r="G71" s="25"/>
      <c r="H71" s="77">
        <f>H63*F71</f>
        <v>0.37499999999999994</v>
      </c>
      <c r="I71" s="77"/>
      <c r="J71" s="27">
        <f t="shared" si="8"/>
        <v>4</v>
      </c>
      <c r="K71" s="27"/>
      <c r="L71" s="79">
        <f>(H71*L63)</f>
        <v>0.007499999999999999</v>
      </c>
      <c r="M71" s="79">
        <f>(H71*M63)</f>
        <v>0.23249999999999996</v>
      </c>
      <c r="N71" s="79">
        <f>(H71*N63)</f>
        <v>0.06562499999999999</v>
      </c>
      <c r="O71" s="79">
        <f>(H71*O63)</f>
        <v>0.007499999999999999</v>
      </c>
      <c r="P71" s="79">
        <f>(H71*P63)</f>
        <v>0.005624999999999999</v>
      </c>
      <c r="Q71" s="79">
        <f>(H71*Q63)</f>
        <v>0.0037499999999999994</v>
      </c>
      <c r="R71" s="79">
        <f>(H71*R63)</f>
        <v>0.0525</v>
      </c>
      <c r="S71" s="24"/>
    </row>
    <row r="72" spans="1:24" ht="14.25" customHeight="1">
      <c r="A72" s="8"/>
      <c r="B72" s="9"/>
      <c r="C72" s="8"/>
      <c r="D72" s="10"/>
      <c r="E72" s="10"/>
      <c r="F72" s="11"/>
      <c r="G72" s="8"/>
      <c r="H72" s="9"/>
      <c r="I72" s="9"/>
      <c r="J72" s="11"/>
      <c r="K72" s="11"/>
      <c r="L72" s="11"/>
      <c r="M72" s="11"/>
      <c r="N72" s="11"/>
      <c r="O72" s="11"/>
      <c r="P72" s="11"/>
      <c r="Q72" s="11"/>
      <c r="R72" s="11"/>
      <c r="S72" s="8"/>
      <c r="U72" s="8"/>
      <c r="V72" s="8"/>
      <c r="W72" s="8"/>
      <c r="X72" s="8"/>
    </row>
    <row r="73" spans="1:19" ht="12.75">
      <c r="A73" s="2" t="s">
        <v>62</v>
      </c>
      <c r="D73" s="217">
        <f>D80</f>
        <v>38550</v>
      </c>
      <c r="F73" s="20">
        <v>0.113</v>
      </c>
      <c r="H73" s="21">
        <f>(F73*HOURS)</f>
        <v>2.3541666666666665</v>
      </c>
      <c r="I73" s="21"/>
      <c r="J73" s="5">
        <f>SUM(J76:J80)</f>
        <v>26</v>
      </c>
      <c r="L73" s="76">
        <v>0</v>
      </c>
      <c r="M73" s="76">
        <f>1-(SUM(N73:R73)+L73)</f>
        <v>0.57</v>
      </c>
      <c r="N73" s="20">
        <v>0.205</v>
      </c>
      <c r="O73" s="20">
        <v>0.04</v>
      </c>
      <c r="P73" s="20">
        <v>0.005</v>
      </c>
      <c r="Q73" s="20">
        <v>0.01</v>
      </c>
      <c r="R73" s="20">
        <v>0.17</v>
      </c>
      <c r="S73" s="22"/>
    </row>
    <row r="74" ht="6.75" customHeight="1">
      <c r="M74" s="27"/>
    </row>
    <row r="75" spans="2:20" s="39" customFormat="1" ht="12.75" customHeight="1">
      <c r="B75" s="38"/>
      <c r="D75" s="88"/>
      <c r="E75" s="88"/>
      <c r="F75" s="89" t="s">
        <v>45</v>
      </c>
      <c r="H75" s="38"/>
      <c r="I75" s="38"/>
      <c r="J75" s="90"/>
      <c r="K75" s="90"/>
      <c r="L75" s="91" t="s">
        <v>46</v>
      </c>
      <c r="M75" s="91"/>
      <c r="N75" s="91"/>
      <c r="O75" s="41"/>
      <c r="P75" s="41"/>
      <c r="Q75" s="41"/>
      <c r="R75" s="91"/>
      <c r="S75" s="89"/>
      <c r="T75" s="2"/>
    </row>
    <row r="76" spans="1:19" ht="14.25" customHeight="1">
      <c r="A76" s="3" t="s">
        <v>44</v>
      </c>
      <c r="B76" s="3">
        <f>B71+1</f>
        <v>24</v>
      </c>
      <c r="D76" s="216">
        <f>D71+7</f>
        <v>38522</v>
      </c>
      <c r="E76" s="19"/>
      <c r="F76" s="20">
        <v>0.169</v>
      </c>
      <c r="H76" s="21">
        <f>H73*F76</f>
        <v>0.3978541666666667</v>
      </c>
      <c r="I76" s="21"/>
      <c r="J76" s="5">
        <f>VLOOKUP(H76,TABLE,2,TRUE)</f>
        <v>5</v>
      </c>
      <c r="L76" s="79">
        <f>(H76*L73)</f>
        <v>0</v>
      </c>
      <c r="M76" s="79">
        <f>(H76*M73)</f>
        <v>0.226776875</v>
      </c>
      <c r="N76" s="79">
        <f>(H76*N73)</f>
        <v>0.08156010416666666</v>
      </c>
      <c r="O76" s="79">
        <f>(H76*O73)</f>
        <v>0.015914166666666667</v>
      </c>
      <c r="P76" s="79">
        <f>(H76*P73)</f>
        <v>0.0019892708333333333</v>
      </c>
      <c r="Q76" s="79">
        <f>(H76*Q73)</f>
        <v>0.003978541666666667</v>
      </c>
      <c r="R76" s="79">
        <f>(H76*R73)</f>
        <v>0.06763520833333334</v>
      </c>
      <c r="S76" s="24"/>
    </row>
    <row r="77" spans="1:19" ht="14.25" customHeight="1">
      <c r="A77" s="3" t="s">
        <v>44</v>
      </c>
      <c r="B77" s="3">
        <f>B76+1</f>
        <v>25</v>
      </c>
      <c r="D77" s="216">
        <f>D76+7</f>
        <v>38529</v>
      </c>
      <c r="E77" s="19"/>
      <c r="F77" s="20">
        <v>0.199</v>
      </c>
      <c r="H77" s="21">
        <f>H73*F77</f>
        <v>0.46847916666666667</v>
      </c>
      <c r="I77" s="21"/>
      <c r="J77" s="5">
        <f>VLOOKUP(H77,TABLE,2,TRUE)</f>
        <v>5</v>
      </c>
      <c r="L77" s="79">
        <f>(H77*L73)</f>
        <v>0</v>
      </c>
      <c r="M77" s="79">
        <f>(H77*M73)</f>
        <v>0.267033125</v>
      </c>
      <c r="N77" s="79">
        <f>(H77*N73)</f>
        <v>0.09603822916666666</v>
      </c>
      <c r="O77" s="79">
        <f>(H77*O73)</f>
        <v>0.018739166666666668</v>
      </c>
      <c r="P77" s="79">
        <f>(H77*P73)</f>
        <v>0.0023423958333333335</v>
      </c>
      <c r="Q77" s="79">
        <f>(H77*Q73)</f>
        <v>0.004684791666666667</v>
      </c>
      <c r="R77" s="79">
        <f>(H77*R73)</f>
        <v>0.07964145833333335</v>
      </c>
      <c r="S77" s="24"/>
    </row>
    <row r="78" spans="1:19" ht="14.25" customHeight="1">
      <c r="A78" s="3" t="s">
        <v>44</v>
      </c>
      <c r="B78" s="3">
        <f>B77+1</f>
        <v>26</v>
      </c>
      <c r="D78" s="216">
        <f>D77+7</f>
        <v>38536</v>
      </c>
      <c r="E78" s="19"/>
      <c r="F78" s="20">
        <v>0.229</v>
      </c>
      <c r="H78" s="21">
        <f>H73*F78</f>
        <v>0.5391041666666666</v>
      </c>
      <c r="I78" s="21"/>
      <c r="J78" s="5">
        <f>VLOOKUP(H78,TABLE,2,TRUE)</f>
        <v>6</v>
      </c>
      <c r="L78" s="79">
        <f>(H78*L73)</f>
        <v>0</v>
      </c>
      <c r="M78" s="79">
        <f>(H78*M73)</f>
        <v>0.3072893749999999</v>
      </c>
      <c r="N78" s="79">
        <f>(H78*N73)</f>
        <v>0.11051635416666665</v>
      </c>
      <c r="O78" s="79">
        <f>(H78*O73)</f>
        <v>0.021564166666666666</v>
      </c>
      <c r="P78" s="79">
        <f>(H78*P73)</f>
        <v>0.002695520833333333</v>
      </c>
      <c r="Q78" s="79">
        <f>(H78*Q73)</f>
        <v>0.005391041666666666</v>
      </c>
      <c r="R78" s="79">
        <f>(H78*R73)</f>
        <v>0.09164770833333333</v>
      </c>
      <c r="S78" s="24"/>
    </row>
    <row r="79" spans="1:19" ht="14.25" customHeight="1">
      <c r="A79" s="3" t="s">
        <v>44</v>
      </c>
      <c r="B79" s="3">
        <f>B78+1</f>
        <v>27</v>
      </c>
      <c r="D79" s="216">
        <f>D78+7</f>
        <v>38543</v>
      </c>
      <c r="E79" s="19"/>
      <c r="F79" s="20">
        <v>0.261</v>
      </c>
      <c r="H79" s="21">
        <f>H73*F79</f>
        <v>0.6144375</v>
      </c>
      <c r="I79" s="21"/>
      <c r="J79" s="5">
        <f>VLOOKUP(H79,TABLE,2,TRUE)</f>
        <v>6</v>
      </c>
      <c r="L79" s="79">
        <f>(H79*L73)</f>
        <v>0</v>
      </c>
      <c r="M79" s="79">
        <f>(H79*M73)</f>
        <v>0.35022937499999995</v>
      </c>
      <c r="N79" s="79">
        <f>(H79*N73)</f>
        <v>0.12595968749999997</v>
      </c>
      <c r="O79" s="79">
        <f>(H79*O73)</f>
        <v>0.0245775</v>
      </c>
      <c r="P79" s="79">
        <f>(H79*P73)</f>
        <v>0.0030721875</v>
      </c>
      <c r="Q79" s="79">
        <f>(H79*Q73)</f>
        <v>0.006144375</v>
      </c>
      <c r="R79" s="79">
        <f>(H79*R73)</f>
        <v>0.104454375</v>
      </c>
      <c r="S79" s="24"/>
    </row>
    <row r="80" spans="1:19" ht="14.25" customHeight="1">
      <c r="A80" s="3" t="s">
        <v>44</v>
      </c>
      <c r="B80" s="3">
        <f>B79+1</f>
        <v>28</v>
      </c>
      <c r="D80" s="216">
        <f>D79+7</f>
        <v>38550</v>
      </c>
      <c r="E80" s="19"/>
      <c r="F80" s="76">
        <f>1-SUM(F76:F79)</f>
        <v>0.14200000000000002</v>
      </c>
      <c r="H80" s="21">
        <f>H73*F80</f>
        <v>0.33429166666666665</v>
      </c>
      <c r="I80" s="21"/>
      <c r="J80" s="5">
        <f>VLOOKUP(H80,TABLE,2,TRUE)</f>
        <v>4</v>
      </c>
      <c r="L80" s="79">
        <f>(H80*L73)</f>
        <v>0</v>
      </c>
      <c r="M80" s="79">
        <f>(H80*M73)</f>
        <v>0.19054624999999997</v>
      </c>
      <c r="N80" s="79">
        <f>(H80*N73)</f>
        <v>0.06852979166666666</v>
      </c>
      <c r="O80" s="79">
        <f>(H80*O73)</f>
        <v>0.013371666666666667</v>
      </c>
      <c r="P80" s="79">
        <f>(H80*P73)</f>
        <v>0.0016714583333333334</v>
      </c>
      <c r="Q80" s="79">
        <f>(H80*Q73)</f>
        <v>0.0033429166666666668</v>
      </c>
      <c r="R80" s="79">
        <f>(H80*R73)</f>
        <v>0.056829583333333336</v>
      </c>
      <c r="S80" s="24"/>
    </row>
    <row r="81" ht="12.75">
      <c r="T81" s="52"/>
    </row>
    <row r="83" spans="1:22" s="45" customFormat="1" ht="12.75">
      <c r="A83" s="45" t="s">
        <v>77</v>
      </c>
      <c r="B83" s="46"/>
      <c r="D83" s="225">
        <f>D91</f>
        <v>38578</v>
      </c>
      <c r="E83" s="47"/>
      <c r="F83" s="48">
        <f>SUM(F85)</f>
        <v>0.08</v>
      </c>
      <c r="H83" s="49">
        <f>(F83*HOURS)</f>
        <v>1.6666666666666665</v>
      </c>
      <c r="I83" s="49"/>
      <c r="J83" s="50">
        <f>SUM(J85)</f>
        <v>19</v>
      </c>
      <c r="K83" s="50"/>
      <c r="L83" s="51" t="s">
        <v>4</v>
      </c>
      <c r="M83" s="51" t="s">
        <v>4</v>
      </c>
      <c r="N83" s="51" t="s">
        <v>4</v>
      </c>
      <c r="O83" s="51" t="s">
        <v>4</v>
      </c>
      <c r="P83" s="51" t="s">
        <v>4</v>
      </c>
      <c r="Q83" s="51" t="s">
        <v>4</v>
      </c>
      <c r="R83" s="51" t="s">
        <v>4</v>
      </c>
      <c r="S83" s="51"/>
      <c r="T83" s="12"/>
      <c r="U83" s="12"/>
      <c r="V83" s="12"/>
    </row>
    <row r="84" spans="1:24" ht="14.25" customHeight="1">
      <c r="A84" s="12"/>
      <c r="B84" s="13"/>
      <c r="C84" s="12"/>
      <c r="D84" s="14"/>
      <c r="E84" s="14"/>
      <c r="F84" s="15"/>
      <c r="G84" s="12"/>
      <c r="H84" s="16"/>
      <c r="I84" s="16"/>
      <c r="J84" s="17"/>
      <c r="K84" s="17"/>
      <c r="L84" s="18"/>
      <c r="M84" s="18"/>
      <c r="N84" s="18"/>
      <c r="O84" s="18"/>
      <c r="P84" s="18"/>
      <c r="Q84" s="18"/>
      <c r="R84" s="18"/>
      <c r="S84" s="18"/>
      <c r="T84" s="12"/>
      <c r="U84" s="12"/>
      <c r="V84" s="12"/>
      <c r="W84" s="12"/>
      <c r="X84" s="12"/>
    </row>
    <row r="85" spans="1:19" ht="12.75">
      <c r="A85" s="2" t="s">
        <v>63</v>
      </c>
      <c r="D85" s="217">
        <f>D91</f>
        <v>38578</v>
      </c>
      <c r="F85" s="20">
        <v>0.08</v>
      </c>
      <c r="H85" s="21">
        <f>(F85*HOURS)</f>
        <v>1.6666666666666665</v>
      </c>
      <c r="I85" s="21"/>
      <c r="J85" s="5">
        <f>SUM(J88:J91)</f>
        <v>19</v>
      </c>
      <c r="L85" s="76">
        <v>0</v>
      </c>
      <c r="M85" s="76">
        <f>1-(SUM(N85:R85)+L85)</f>
        <v>0.53</v>
      </c>
      <c r="N85" s="20">
        <v>0.185</v>
      </c>
      <c r="O85" s="20">
        <v>0.04</v>
      </c>
      <c r="P85" s="20">
        <v>0.005</v>
      </c>
      <c r="Q85" s="20">
        <v>0.01</v>
      </c>
      <c r="R85" s="20">
        <v>0.23</v>
      </c>
      <c r="S85" s="22"/>
    </row>
    <row r="86" ht="6.75" customHeight="1">
      <c r="M86" s="27"/>
    </row>
    <row r="87" spans="2:20" s="39" customFormat="1" ht="12.75" customHeight="1" thickBot="1">
      <c r="B87" s="38"/>
      <c r="D87" s="88"/>
      <c r="E87" s="88"/>
      <c r="F87" s="89" t="s">
        <v>45</v>
      </c>
      <c r="H87" s="38"/>
      <c r="I87" s="38"/>
      <c r="J87" s="90"/>
      <c r="K87" s="90"/>
      <c r="L87" s="91" t="s">
        <v>46</v>
      </c>
      <c r="M87" s="91"/>
      <c r="N87" s="91"/>
      <c r="O87" s="41"/>
      <c r="P87" s="41"/>
      <c r="Q87" s="41"/>
      <c r="R87" s="91"/>
      <c r="S87" s="89"/>
      <c r="T87" s="2"/>
    </row>
    <row r="88" spans="1:20" ht="14.25" customHeight="1" thickBot="1">
      <c r="A88" s="3" t="s">
        <v>44</v>
      </c>
      <c r="B88" s="3">
        <f>B80+1</f>
        <v>29</v>
      </c>
      <c r="D88" s="215">
        <f>D73+7</f>
        <v>38557</v>
      </c>
      <c r="E88" s="19"/>
      <c r="F88" s="20">
        <v>0.22</v>
      </c>
      <c r="H88" s="21">
        <f>H85*F88</f>
        <v>0.36666666666666664</v>
      </c>
      <c r="I88" s="21"/>
      <c r="J88" s="5">
        <f>VLOOKUP(H88,TABLE,2,TRUE)</f>
        <v>4</v>
      </c>
      <c r="L88" s="79">
        <f>(H88*L85)</f>
        <v>0</v>
      </c>
      <c r="M88" s="79">
        <f>(H88*M85)</f>
        <v>0.19433333333333333</v>
      </c>
      <c r="N88" s="79">
        <f>(H88*N85)</f>
        <v>0.06783333333333333</v>
      </c>
      <c r="O88" s="79">
        <f>(H88*O85)</f>
        <v>0.014666666666666666</v>
      </c>
      <c r="P88" s="79">
        <f>(H88*P85)</f>
        <v>0.0018333333333333333</v>
      </c>
      <c r="Q88" s="79">
        <f>(H88*Q85)</f>
        <v>0.0036666666666666666</v>
      </c>
      <c r="R88" s="79">
        <f>(H88*R85)</f>
        <v>0.08433333333333333</v>
      </c>
      <c r="S88"/>
      <c r="T88" s="52"/>
    </row>
    <row r="89" spans="1:20" ht="14.25" customHeight="1">
      <c r="A89" s="3" t="s">
        <v>44</v>
      </c>
      <c r="B89" s="3">
        <f>B88+1</f>
        <v>30</v>
      </c>
      <c r="D89" s="216">
        <f>D88+7</f>
        <v>38564</v>
      </c>
      <c r="E89" s="19"/>
      <c r="F89" s="20">
        <v>0.27</v>
      </c>
      <c r="H89" s="21">
        <f>H85*F89</f>
        <v>0.45</v>
      </c>
      <c r="I89" s="21"/>
      <c r="J89" s="5">
        <f>VLOOKUP(H89,TABLE,2,TRUE)</f>
        <v>5</v>
      </c>
      <c r="L89" s="79">
        <f>(H89*L85)</f>
        <v>0</v>
      </c>
      <c r="M89" s="79">
        <f>(H89*M85)</f>
        <v>0.23850000000000002</v>
      </c>
      <c r="N89" s="79">
        <f>(H89*N85)</f>
        <v>0.08325</v>
      </c>
      <c r="O89" s="79">
        <f>(H89*O85)</f>
        <v>0.018000000000000002</v>
      </c>
      <c r="P89" s="79">
        <f>(H89*P85)</f>
        <v>0.0022500000000000003</v>
      </c>
      <c r="Q89" s="79">
        <f>(H89*Q85)</f>
        <v>0.0045000000000000005</v>
      </c>
      <c r="R89" s="79">
        <f>(H89*R85)</f>
        <v>0.10350000000000001</v>
      </c>
      <c r="S89" s="24"/>
      <c r="T89" s="52"/>
    </row>
    <row r="90" spans="1:19" ht="14.25" customHeight="1">
      <c r="A90" s="3" t="s">
        <v>44</v>
      </c>
      <c r="B90" s="3">
        <f>B89+1</f>
        <v>31</v>
      </c>
      <c r="D90" s="216">
        <f>D89+7</f>
        <v>38571</v>
      </c>
      <c r="E90" s="19"/>
      <c r="F90" s="20">
        <v>0.33</v>
      </c>
      <c r="H90" s="21">
        <f>H85*F90</f>
        <v>0.5499999999999999</v>
      </c>
      <c r="I90" s="21"/>
      <c r="J90" s="5">
        <f>VLOOKUP(H90,TABLE,2,TRUE)</f>
        <v>6</v>
      </c>
      <c r="L90" s="79">
        <f>(H90*L85)</f>
        <v>0</v>
      </c>
      <c r="M90" s="79">
        <f>(H90*M85)</f>
        <v>0.2915</v>
      </c>
      <c r="N90" s="79">
        <f>(H90*N85)</f>
        <v>0.10175</v>
      </c>
      <c r="O90" s="79">
        <f>(H90*O85)</f>
        <v>0.022</v>
      </c>
      <c r="P90" s="79">
        <f>(H90*P85)</f>
        <v>0.00275</v>
      </c>
      <c r="Q90" s="79">
        <f>(H90*Q85)</f>
        <v>0.0055</v>
      </c>
      <c r="R90" s="79">
        <f>(H90*R85)</f>
        <v>0.1265</v>
      </c>
      <c r="S90" s="24"/>
    </row>
    <row r="91" spans="1:19" ht="14.25" customHeight="1">
      <c r="A91" s="3" t="s">
        <v>44</v>
      </c>
      <c r="B91" s="3">
        <f>B90+1</f>
        <v>32</v>
      </c>
      <c r="D91" s="216">
        <f>D90+7</f>
        <v>38578</v>
      </c>
      <c r="E91" s="19"/>
      <c r="F91" s="20">
        <f>1-SUM(F88:F90)</f>
        <v>0.17999999999999994</v>
      </c>
      <c r="H91" s="21">
        <f>H85*F91</f>
        <v>0.2999999999999999</v>
      </c>
      <c r="I91" s="21"/>
      <c r="J91" s="5">
        <f>VLOOKUP(H91,TABLE,2,TRUE)</f>
        <v>4</v>
      </c>
      <c r="L91" s="79">
        <f>(H91*L85)</f>
        <v>0</v>
      </c>
      <c r="M91" s="79">
        <f>(H91*M85)</f>
        <v>0.15899999999999995</v>
      </c>
      <c r="N91" s="79">
        <f>(H91*N85)</f>
        <v>0.05549999999999998</v>
      </c>
      <c r="O91" s="79">
        <f>(H91*O85)</f>
        <v>0.011999999999999995</v>
      </c>
      <c r="P91" s="79">
        <f>(H91*P85)</f>
        <v>0.0014999999999999994</v>
      </c>
      <c r="Q91" s="79">
        <f>(H91*Q85)</f>
        <v>0.0029999999999999988</v>
      </c>
      <c r="R91" s="79">
        <f>(H91*R85)</f>
        <v>0.06899999999999998</v>
      </c>
      <c r="S91" s="24"/>
    </row>
    <row r="92" spans="1:24" ht="12.75">
      <c r="A92" s="25"/>
      <c r="B92" s="26"/>
      <c r="C92" s="25"/>
      <c r="D92" s="75"/>
      <c r="E92" s="33"/>
      <c r="F92" s="27"/>
      <c r="G92" s="25"/>
      <c r="H92" s="26"/>
      <c r="I92" s="26"/>
      <c r="J92" s="27"/>
      <c r="K92" s="27"/>
      <c r="L92" s="27"/>
      <c r="M92" s="27"/>
      <c r="N92" s="27"/>
      <c r="O92" s="27"/>
      <c r="P92" s="27"/>
      <c r="Q92" s="27"/>
      <c r="R92" s="27"/>
      <c r="S92" s="25"/>
      <c r="T92" s="25"/>
      <c r="U92" s="25"/>
      <c r="V92" s="25"/>
      <c r="W92" s="25"/>
      <c r="X92" s="25"/>
    </row>
    <row r="93" ht="13.5" thickBot="1"/>
    <row r="94" spans="1:24" ht="15.75">
      <c r="A94" s="25"/>
      <c r="B94" s="26"/>
      <c r="C94" s="25"/>
      <c r="D94" s="33"/>
      <c r="E94" s="33"/>
      <c r="F94" s="176" t="s">
        <v>69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77"/>
      <c r="S94" s="177"/>
      <c r="T94" s="146"/>
      <c r="V94" s="42" t="s">
        <v>0</v>
      </c>
      <c r="W94" s="25" t="s">
        <v>0</v>
      </c>
      <c r="X94" s="25"/>
    </row>
    <row r="95" spans="1:24" ht="12.75">
      <c r="A95" s="25"/>
      <c r="B95" s="26"/>
      <c r="C95" s="25"/>
      <c r="D95" s="33"/>
      <c r="E95" s="33"/>
      <c r="F95" s="231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3"/>
      <c r="V95" s="25"/>
      <c r="W95" s="25"/>
      <c r="X95" s="25"/>
    </row>
    <row r="96" spans="1:24" s="12" customFormat="1" ht="13.5" customHeight="1">
      <c r="A96" s="28"/>
      <c r="B96" s="71"/>
      <c r="C96" s="28"/>
      <c r="D96" s="29"/>
      <c r="E96" s="29"/>
      <c r="F96" s="179" t="s">
        <v>48</v>
      </c>
      <c r="G96" s="219" t="s">
        <v>71</v>
      </c>
      <c r="H96" s="220"/>
      <c r="I96" s="220"/>
      <c r="J96" s="221"/>
      <c r="K96" s="221"/>
      <c r="L96" s="221"/>
      <c r="M96" s="221"/>
      <c r="N96" s="222" t="s">
        <v>70</v>
      </c>
      <c r="O96" s="223"/>
      <c r="P96" s="222"/>
      <c r="Q96" s="222"/>
      <c r="R96" s="222"/>
      <c r="S96" s="222"/>
      <c r="T96" s="180"/>
      <c r="V96" s="31" t="s">
        <v>0</v>
      </c>
      <c r="W96" s="28"/>
      <c r="X96" s="28"/>
    </row>
    <row r="97" spans="1:24" ht="14.25" customHeight="1">
      <c r="A97" s="25"/>
      <c r="B97" s="26"/>
      <c r="C97" s="25"/>
      <c r="D97" s="33"/>
      <c r="E97" s="33"/>
      <c r="F97" s="231"/>
      <c r="G97" s="232"/>
      <c r="H97" s="232"/>
      <c r="I97" s="232"/>
      <c r="J97" s="232"/>
      <c r="K97" s="232"/>
      <c r="L97" s="232"/>
      <c r="M97" s="232"/>
      <c r="N97" s="32">
        <v>168</v>
      </c>
      <c r="O97" s="32">
        <f aca="true" t="shared" si="9" ref="O97:T97">N97+2</f>
        <v>170</v>
      </c>
      <c r="P97" s="32">
        <f t="shared" si="9"/>
        <v>172</v>
      </c>
      <c r="Q97" s="32">
        <f t="shared" si="9"/>
        <v>174</v>
      </c>
      <c r="R97" s="32">
        <f t="shared" si="9"/>
        <v>176</v>
      </c>
      <c r="S97" s="32">
        <f t="shared" si="9"/>
        <v>178</v>
      </c>
      <c r="T97" s="181">
        <f t="shared" si="9"/>
        <v>180</v>
      </c>
      <c r="V97" s="25"/>
      <c r="W97" s="25"/>
      <c r="X97" s="25"/>
    </row>
    <row r="98" spans="1:24" ht="14.25" customHeight="1">
      <c r="A98" s="25"/>
      <c r="B98" s="26"/>
      <c r="C98" s="25"/>
      <c r="D98" s="33"/>
      <c r="E98" s="33"/>
      <c r="F98" s="231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3"/>
      <c r="V98" s="25"/>
      <c r="W98" s="25"/>
      <c r="X98" s="25"/>
    </row>
    <row r="99" spans="1:24" ht="14.25" customHeight="1">
      <c r="A99" s="25"/>
      <c r="B99" s="26"/>
      <c r="C99" s="25"/>
      <c r="D99" s="33"/>
      <c r="E99" s="33"/>
      <c r="F99" s="178">
        <v>1</v>
      </c>
      <c r="G99" s="33" t="s">
        <v>76</v>
      </c>
      <c r="H99" s="1"/>
      <c r="I99" s="1"/>
      <c r="J99" s="27"/>
      <c r="K99" s="27"/>
      <c r="L99" s="27"/>
      <c r="M99" s="27"/>
      <c r="N99" s="34">
        <f aca="true" t="shared" si="10" ref="N99:T99">N97*0.69</f>
        <v>115.91999999999999</v>
      </c>
      <c r="O99" s="34">
        <f t="shared" si="10"/>
        <v>117.3</v>
      </c>
      <c r="P99" s="34">
        <f t="shared" si="10"/>
        <v>118.67999999999999</v>
      </c>
      <c r="Q99" s="34">
        <f t="shared" si="10"/>
        <v>120.05999999999999</v>
      </c>
      <c r="R99" s="34">
        <f t="shared" si="10"/>
        <v>121.44</v>
      </c>
      <c r="S99" s="34">
        <f t="shared" si="10"/>
        <v>122.82</v>
      </c>
      <c r="T99" s="182">
        <f t="shared" si="10"/>
        <v>124.19999999999999</v>
      </c>
      <c r="V99" s="25"/>
      <c r="W99" s="25"/>
      <c r="X99" s="25"/>
    </row>
    <row r="100" spans="1:24" ht="14.25" customHeight="1">
      <c r="A100" s="25"/>
      <c r="B100" s="26"/>
      <c r="C100" s="25"/>
      <c r="D100" s="33"/>
      <c r="E100" s="33"/>
      <c r="F100" s="178">
        <v>2</v>
      </c>
      <c r="G100" s="33" t="s">
        <v>75</v>
      </c>
      <c r="H100" s="1"/>
      <c r="I100" s="1"/>
      <c r="J100" s="27"/>
      <c r="K100" s="27"/>
      <c r="L100" s="27"/>
      <c r="M100" s="27"/>
      <c r="N100" s="34">
        <f aca="true" t="shared" si="11" ref="N100:T100">N97*0.83</f>
        <v>139.44</v>
      </c>
      <c r="O100" s="34">
        <f t="shared" si="11"/>
        <v>141.1</v>
      </c>
      <c r="P100" s="34">
        <f t="shared" si="11"/>
        <v>142.76</v>
      </c>
      <c r="Q100" s="34">
        <f t="shared" si="11"/>
        <v>144.42</v>
      </c>
      <c r="R100" s="34">
        <f t="shared" si="11"/>
        <v>146.07999999999998</v>
      </c>
      <c r="S100" s="34">
        <f t="shared" si="11"/>
        <v>147.73999999999998</v>
      </c>
      <c r="T100" s="182">
        <f t="shared" si="11"/>
        <v>149.4</v>
      </c>
      <c r="V100" s="25"/>
      <c r="W100" s="25"/>
      <c r="X100" s="25"/>
    </row>
    <row r="101" spans="1:24" ht="14.25" customHeight="1">
      <c r="A101" s="25"/>
      <c r="B101" s="26"/>
      <c r="C101" s="25"/>
      <c r="D101" s="33"/>
      <c r="E101" s="33"/>
      <c r="F101" s="178">
        <v>3</v>
      </c>
      <c r="G101" s="33" t="s">
        <v>74</v>
      </c>
      <c r="H101" s="1"/>
      <c r="I101" s="1"/>
      <c r="J101" s="27"/>
      <c r="K101" s="27"/>
      <c r="L101" s="27"/>
      <c r="M101" s="27"/>
      <c r="N101" s="34">
        <f aca="true" t="shared" si="12" ref="N101:T101">N97*0.94</f>
        <v>157.92</v>
      </c>
      <c r="O101" s="34">
        <f t="shared" si="12"/>
        <v>159.79999999999998</v>
      </c>
      <c r="P101" s="34">
        <f t="shared" si="12"/>
        <v>161.67999999999998</v>
      </c>
      <c r="Q101" s="34">
        <f t="shared" si="12"/>
        <v>163.56</v>
      </c>
      <c r="R101" s="34">
        <f t="shared" si="12"/>
        <v>165.44</v>
      </c>
      <c r="S101" s="34">
        <f t="shared" si="12"/>
        <v>167.32</v>
      </c>
      <c r="T101" s="182">
        <f t="shared" si="12"/>
        <v>169.2</v>
      </c>
      <c r="V101" s="25"/>
      <c r="W101" s="25"/>
      <c r="X101" s="25"/>
    </row>
    <row r="102" spans="1:24" ht="14.25" customHeight="1">
      <c r="A102" s="25"/>
      <c r="B102" s="26"/>
      <c r="C102" s="25"/>
      <c r="D102" s="33"/>
      <c r="E102" s="33"/>
      <c r="F102" s="178">
        <v>4</v>
      </c>
      <c r="G102" s="33" t="s">
        <v>73</v>
      </c>
      <c r="H102" s="1"/>
      <c r="I102" s="1"/>
      <c r="J102" s="27"/>
      <c r="K102" s="27"/>
      <c r="L102" s="27"/>
      <c r="M102" s="27"/>
      <c r="N102" s="34">
        <f aca="true" t="shared" si="13" ref="N102:T102">N97*1.05</f>
        <v>176.4</v>
      </c>
      <c r="O102" s="34">
        <f t="shared" si="13"/>
        <v>178.5</v>
      </c>
      <c r="P102" s="34">
        <f t="shared" si="13"/>
        <v>180.6</v>
      </c>
      <c r="Q102" s="34">
        <f t="shared" si="13"/>
        <v>182.70000000000002</v>
      </c>
      <c r="R102" s="34">
        <f t="shared" si="13"/>
        <v>184.8</v>
      </c>
      <c r="S102" s="34">
        <f t="shared" si="13"/>
        <v>186.9</v>
      </c>
      <c r="T102" s="182">
        <f t="shared" si="13"/>
        <v>189</v>
      </c>
      <c r="V102" s="25"/>
      <c r="W102" s="25"/>
      <c r="X102" s="25"/>
    </row>
    <row r="103" spans="1:24" ht="14.25" customHeight="1" thickBot="1">
      <c r="A103" s="25"/>
      <c r="B103" s="26"/>
      <c r="C103" s="25"/>
      <c r="D103" s="33"/>
      <c r="E103" s="33"/>
      <c r="F103" s="183">
        <v>5</v>
      </c>
      <c r="G103" s="184" t="s">
        <v>72</v>
      </c>
      <c r="H103" s="185"/>
      <c r="I103" s="185"/>
      <c r="J103" s="186"/>
      <c r="K103" s="186"/>
      <c r="L103" s="186"/>
      <c r="M103" s="186"/>
      <c r="N103" s="187">
        <f aca="true" t="shared" si="14" ref="N103:T103">N97*1.06</f>
        <v>178.08</v>
      </c>
      <c r="O103" s="187">
        <f t="shared" si="14"/>
        <v>180.20000000000002</v>
      </c>
      <c r="P103" s="187">
        <f t="shared" si="14"/>
        <v>182.32000000000002</v>
      </c>
      <c r="Q103" s="187">
        <f t="shared" si="14"/>
        <v>184.44</v>
      </c>
      <c r="R103" s="187">
        <f t="shared" si="14"/>
        <v>186.56</v>
      </c>
      <c r="S103" s="187">
        <f t="shared" si="14"/>
        <v>188.68</v>
      </c>
      <c r="T103" s="188">
        <f t="shared" si="14"/>
        <v>190.8</v>
      </c>
      <c r="V103" s="25"/>
      <c r="W103" s="25"/>
      <c r="X103" s="25"/>
    </row>
    <row r="104" spans="1:24" ht="12.75">
      <c r="A104" s="25"/>
      <c r="B104" s="26"/>
      <c r="C104" s="25"/>
      <c r="D104" s="33"/>
      <c r="E104" s="33"/>
      <c r="F104" s="27"/>
      <c r="G104" s="25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5"/>
      <c r="T104" s="25"/>
      <c r="U104" s="25"/>
      <c r="V104" s="25"/>
      <c r="W104" s="25"/>
      <c r="X104" s="25"/>
    </row>
    <row r="105" spans="1:24" ht="14.25" customHeight="1">
      <c r="A105" s="8"/>
      <c r="B105" s="9"/>
      <c r="C105" s="8"/>
      <c r="D105" s="10"/>
      <c r="E105" s="10"/>
      <c r="F105" s="11"/>
      <c r="G105" s="8"/>
      <c r="H105" s="9"/>
      <c r="I105" s="9"/>
      <c r="J105" s="11"/>
      <c r="K105" s="11"/>
      <c r="L105" s="11"/>
      <c r="M105" s="11"/>
      <c r="N105" s="11"/>
      <c r="O105" s="11"/>
      <c r="P105" s="11"/>
      <c r="Q105" s="11"/>
      <c r="R105" s="11"/>
      <c r="S105" s="8"/>
      <c r="T105" s="8"/>
      <c r="U105" s="8"/>
      <c r="V105" s="8"/>
      <c r="W105" s="8"/>
      <c r="X105" s="8"/>
    </row>
    <row r="106" spans="1:24" ht="18">
      <c r="A106" s="35" t="s">
        <v>68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ht="18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15.75">
      <c r="A108" s="60" t="s">
        <v>31</v>
      </c>
      <c r="B108" s="55"/>
      <c r="C108" s="56"/>
      <c r="D108" s="57" t="s">
        <v>32</v>
      </c>
      <c r="E108" s="57"/>
      <c r="F108" s="40" t="s">
        <v>33</v>
      </c>
      <c r="G108" s="41"/>
      <c r="H108" s="41"/>
      <c r="I108" s="59" t="s">
        <v>0</v>
      </c>
      <c r="J108" s="58" t="s">
        <v>34</v>
      </c>
      <c r="K108" s="58"/>
      <c r="L108" s="92" t="s">
        <v>35</v>
      </c>
      <c r="M108" s="92"/>
      <c r="N108" s="59"/>
      <c r="O108" s="59"/>
      <c r="P108" s="59"/>
      <c r="Q108" s="59"/>
      <c r="R108" s="59"/>
      <c r="S108" s="59" t="s">
        <v>0</v>
      </c>
      <c r="T108" s="60" t="s">
        <v>36</v>
      </c>
      <c r="U108" s="39"/>
      <c r="V108" s="39"/>
      <c r="W108" s="39"/>
      <c r="X108" s="39"/>
    </row>
    <row r="109" spans="1:24" ht="16.5">
      <c r="A109" s="62"/>
      <c r="B109" s="61"/>
      <c r="C109" s="62"/>
      <c r="D109" s="63"/>
      <c r="E109" s="63"/>
      <c r="F109" s="64" t="s">
        <v>39</v>
      </c>
      <c r="G109" s="62"/>
      <c r="H109" s="64" t="s">
        <v>38</v>
      </c>
      <c r="I109" s="64"/>
      <c r="J109" s="64"/>
      <c r="K109" s="64"/>
      <c r="L109" s="40" t="s">
        <v>37</v>
      </c>
      <c r="M109" s="40"/>
      <c r="N109" s="41"/>
      <c r="O109" s="41"/>
      <c r="P109" s="41"/>
      <c r="Q109" s="41"/>
      <c r="R109" s="41"/>
      <c r="S109" s="65" t="s">
        <v>0</v>
      </c>
      <c r="T109" s="62"/>
      <c r="U109" s="6"/>
      <c r="V109" s="6"/>
      <c r="W109" s="6"/>
      <c r="X109" s="6"/>
    </row>
    <row r="110" spans="1:20" ht="16.5" customHeight="1">
      <c r="A110" s="25"/>
      <c r="B110" s="26"/>
      <c r="C110" s="25"/>
      <c r="D110" s="33"/>
      <c r="E110" s="33"/>
      <c r="F110" s="27"/>
      <c r="G110" s="25"/>
      <c r="H110" s="26"/>
      <c r="I110" s="26"/>
      <c r="J110" s="27"/>
      <c r="K110" s="27"/>
      <c r="L110" s="27" t="s">
        <v>5</v>
      </c>
      <c r="M110" s="27" t="s">
        <v>1</v>
      </c>
      <c r="N110" s="27" t="s">
        <v>2</v>
      </c>
      <c r="O110" s="27" t="s">
        <v>3</v>
      </c>
      <c r="P110" s="27" t="s">
        <v>7</v>
      </c>
      <c r="Q110" s="27" t="s">
        <v>8</v>
      </c>
      <c r="R110" s="33" t="s">
        <v>40</v>
      </c>
      <c r="S110" s="25"/>
      <c r="T110" s="25"/>
    </row>
    <row r="113" spans="1:22" s="45" customFormat="1" ht="12.75">
      <c r="A113" s="45" t="s">
        <v>78</v>
      </c>
      <c r="B113" s="46"/>
      <c r="D113" s="225">
        <f>D129</f>
        <v>38634</v>
      </c>
      <c r="E113" s="47"/>
      <c r="F113" s="48">
        <f>SUM(F115,F123,F131)</f>
        <v>0.26</v>
      </c>
      <c r="H113" s="49">
        <f>(F113*HOURS)</f>
        <v>5.416666666666667</v>
      </c>
      <c r="I113" s="49"/>
      <c r="J113" s="53">
        <f>SUM(J115,J123,J131)</f>
        <v>60</v>
      </c>
      <c r="K113" s="53"/>
      <c r="L113" s="51" t="s">
        <v>4</v>
      </c>
      <c r="M113" s="51" t="s">
        <v>4</v>
      </c>
      <c r="N113" s="51" t="s">
        <v>4</v>
      </c>
      <c r="O113" s="51" t="s">
        <v>4</v>
      </c>
      <c r="P113" s="51" t="s">
        <v>4</v>
      </c>
      <c r="Q113" s="51" t="s">
        <v>4</v>
      </c>
      <c r="R113" s="51" t="s">
        <v>4</v>
      </c>
      <c r="S113" s="51"/>
      <c r="T113" s="12"/>
      <c r="U113" s="12"/>
      <c r="V113" s="12"/>
    </row>
    <row r="114" spans="1:24" ht="14.25" customHeight="1">
      <c r="A114" s="12"/>
      <c r="B114" s="13"/>
      <c r="C114" s="12"/>
      <c r="D114" s="14"/>
      <c r="E114" s="14"/>
      <c r="F114" s="15"/>
      <c r="G114" s="12"/>
      <c r="H114" s="16"/>
      <c r="I114" s="16"/>
      <c r="J114" s="17"/>
      <c r="K114" s="17"/>
      <c r="L114" s="18"/>
      <c r="M114" s="18"/>
      <c r="N114" s="18"/>
      <c r="O114" s="18"/>
      <c r="P114" s="18"/>
      <c r="Q114" s="18"/>
      <c r="R114" s="18"/>
      <c r="S114" s="18"/>
      <c r="T114" s="12"/>
      <c r="U114" s="12"/>
      <c r="V114" s="12"/>
      <c r="W114" s="12"/>
      <c r="X114" s="12"/>
    </row>
    <row r="115" spans="1:19" ht="12.75">
      <c r="A115" s="2" t="s">
        <v>64</v>
      </c>
      <c r="D115" s="217">
        <f>D121</f>
        <v>38606</v>
      </c>
      <c r="F115" s="20">
        <v>0.08</v>
      </c>
      <c r="H115" s="21">
        <f>(F115*HOURS)</f>
        <v>1.6666666666666665</v>
      </c>
      <c r="I115" s="21"/>
      <c r="J115" s="5">
        <f>SUM(J118:J121)</f>
        <v>18</v>
      </c>
      <c r="L115" s="76">
        <v>0</v>
      </c>
      <c r="M115" s="76">
        <f>1-(SUM(N115:R115)+L115)</f>
        <v>0.81</v>
      </c>
      <c r="N115" s="20">
        <v>0.18</v>
      </c>
      <c r="O115" s="20">
        <v>0</v>
      </c>
      <c r="P115" s="20">
        <v>0.01</v>
      </c>
      <c r="Q115" s="20">
        <v>0</v>
      </c>
      <c r="R115" s="20">
        <v>0</v>
      </c>
      <c r="S115" s="22"/>
    </row>
    <row r="116" ht="6.75" customHeight="1">
      <c r="M116" s="27"/>
    </row>
    <row r="117" spans="2:19" s="39" customFormat="1" ht="12.75" customHeight="1" thickBot="1">
      <c r="B117" s="38"/>
      <c r="D117" s="88"/>
      <c r="E117" s="88"/>
      <c r="F117" s="89" t="s">
        <v>45</v>
      </c>
      <c r="H117" s="38"/>
      <c r="I117" s="38"/>
      <c r="J117" s="90"/>
      <c r="K117" s="90"/>
      <c r="L117" s="91" t="s">
        <v>46</v>
      </c>
      <c r="M117" s="91"/>
      <c r="N117" s="91"/>
      <c r="O117" s="41"/>
      <c r="P117" s="41"/>
      <c r="Q117" s="41"/>
      <c r="R117" s="91"/>
      <c r="S117" s="89"/>
    </row>
    <row r="118" spans="1:20" ht="14.25" customHeight="1" thickBot="1">
      <c r="A118" s="3" t="s">
        <v>44</v>
      </c>
      <c r="B118" s="3">
        <f>B91+1</f>
        <v>33</v>
      </c>
      <c r="D118" s="215">
        <f>D85+7</f>
        <v>38585</v>
      </c>
      <c r="E118" s="19"/>
      <c r="F118" s="20">
        <v>0.23</v>
      </c>
      <c r="H118" s="21">
        <f>H115*F118</f>
        <v>0.3833333333333333</v>
      </c>
      <c r="I118" s="21"/>
      <c r="J118" s="5">
        <f>VLOOKUP(H118,TABLE,2,TRUE)</f>
        <v>4</v>
      </c>
      <c r="L118" s="79">
        <f>(H118*L115)</f>
        <v>0</v>
      </c>
      <c r="M118" s="79">
        <f>(H118*M115)</f>
        <v>0.3105</v>
      </c>
      <c r="N118" s="79">
        <f>(H118*N115)</f>
        <v>0.06899999999999999</v>
      </c>
      <c r="O118" s="79">
        <f>(H118*O115)</f>
        <v>0</v>
      </c>
      <c r="P118" s="79">
        <f>(H118*P115)</f>
        <v>0.003833333333333333</v>
      </c>
      <c r="Q118" s="79">
        <f>(H118*Q115)</f>
        <v>0</v>
      </c>
      <c r="R118" s="79">
        <f>(H118*R115)</f>
        <v>0</v>
      </c>
      <c r="S118"/>
      <c r="T118" s="52"/>
    </row>
    <row r="119" spans="1:19" ht="14.25" customHeight="1">
      <c r="A119" s="3" t="s">
        <v>44</v>
      </c>
      <c r="B119" s="3">
        <f>B118+1</f>
        <v>34</v>
      </c>
      <c r="D119" s="216">
        <f>D118+7</f>
        <v>38592</v>
      </c>
      <c r="E119" s="19"/>
      <c r="F119" s="20">
        <v>0.26</v>
      </c>
      <c r="H119" s="21">
        <f>H115*F119</f>
        <v>0.4333333333333333</v>
      </c>
      <c r="I119" s="21"/>
      <c r="J119" s="5">
        <f>VLOOKUP(H119,TABLE,2,TRUE)</f>
        <v>5</v>
      </c>
      <c r="L119" s="79">
        <f>(H119*L115)</f>
        <v>0</v>
      </c>
      <c r="M119" s="79">
        <f>(H119*M115)</f>
        <v>0.351</v>
      </c>
      <c r="N119" s="79">
        <f>(H119*N115)</f>
        <v>0.07799999999999999</v>
      </c>
      <c r="O119" s="79">
        <f>(H119*O115)</f>
        <v>0</v>
      </c>
      <c r="P119" s="79">
        <f>(H119*P115)</f>
        <v>0.004333333333333333</v>
      </c>
      <c r="Q119" s="79">
        <f>(H119*Q115)</f>
        <v>0</v>
      </c>
      <c r="R119" s="79">
        <f>(H119*R115)</f>
        <v>0</v>
      </c>
      <c r="S119" s="24"/>
    </row>
    <row r="120" spans="1:19" ht="14.25" customHeight="1">
      <c r="A120" s="3" t="s">
        <v>44</v>
      </c>
      <c r="B120" s="3">
        <f>B119+1</f>
        <v>35</v>
      </c>
      <c r="D120" s="216">
        <f>D119+7</f>
        <v>38599</v>
      </c>
      <c r="E120" s="19"/>
      <c r="F120" s="20">
        <v>0.29</v>
      </c>
      <c r="H120" s="21">
        <f>H115*F120</f>
        <v>0.4833333333333333</v>
      </c>
      <c r="I120" s="21"/>
      <c r="J120" s="5">
        <f>VLOOKUP(H120,TABLE,2,TRUE)</f>
        <v>5</v>
      </c>
      <c r="L120" s="79">
        <f>(H120*L115)</f>
        <v>0</v>
      </c>
      <c r="M120" s="79">
        <f>(H120*M115)</f>
        <v>0.39149999999999996</v>
      </c>
      <c r="N120" s="79">
        <f>(H120*N115)</f>
        <v>0.087</v>
      </c>
      <c r="O120" s="79">
        <f>(H120*O115)</f>
        <v>0</v>
      </c>
      <c r="P120" s="79">
        <f>(H120*P115)</f>
        <v>0.004833333333333333</v>
      </c>
      <c r="Q120" s="79">
        <f>(H120*Q115)</f>
        <v>0</v>
      </c>
      <c r="R120" s="79">
        <f>(H120*R115)</f>
        <v>0</v>
      </c>
      <c r="S120" s="24"/>
    </row>
    <row r="121" spans="1:19" ht="14.25" customHeight="1">
      <c r="A121" s="3" t="s">
        <v>44</v>
      </c>
      <c r="B121" s="3">
        <f>B120+1</f>
        <v>36</v>
      </c>
      <c r="D121" s="216">
        <f>D120+7</f>
        <v>38606</v>
      </c>
      <c r="E121" s="19"/>
      <c r="F121" s="20">
        <f>1-SUM(F118:F120)</f>
        <v>0.21999999999999997</v>
      </c>
      <c r="H121" s="21">
        <f>H115*F121</f>
        <v>0.3666666666666666</v>
      </c>
      <c r="I121" s="21"/>
      <c r="J121" s="5">
        <f>VLOOKUP(H121,TABLE,2,TRUE)</f>
        <v>4</v>
      </c>
      <c r="L121" s="79">
        <f>(H121*L115)</f>
        <v>0</v>
      </c>
      <c r="M121" s="79">
        <f>(H121*M115)</f>
        <v>0.29699999999999993</v>
      </c>
      <c r="N121" s="79">
        <f>(H121*N115)</f>
        <v>0.06599999999999999</v>
      </c>
      <c r="O121" s="79">
        <f>(H121*O115)</f>
        <v>0</v>
      </c>
      <c r="P121" s="79">
        <f>(H121*P115)</f>
        <v>0.0036666666666666657</v>
      </c>
      <c r="Q121" s="79">
        <f>(H121*Q115)</f>
        <v>0</v>
      </c>
      <c r="R121" s="79">
        <f>(H121*R115)</f>
        <v>0</v>
      </c>
      <c r="S121" s="24"/>
    </row>
    <row r="122" spans="2:24" ht="14.25" customHeight="1">
      <c r="B122" s="9"/>
      <c r="C122" s="8"/>
      <c r="D122" s="10"/>
      <c r="E122" s="10"/>
      <c r="F122" s="11"/>
      <c r="G122" s="8"/>
      <c r="H122" s="9"/>
      <c r="I122" s="9"/>
      <c r="J122" s="11"/>
      <c r="K122" s="11"/>
      <c r="L122" s="11"/>
      <c r="M122" s="11"/>
      <c r="N122" s="11"/>
      <c r="O122" s="11"/>
      <c r="P122" s="11"/>
      <c r="Q122" s="11"/>
      <c r="R122" s="11"/>
      <c r="S122" s="8"/>
      <c r="T122" s="8"/>
      <c r="U122" s="8"/>
      <c r="V122" s="8"/>
      <c r="W122" s="8"/>
      <c r="X122" s="8"/>
    </row>
    <row r="123" spans="1:19" ht="12.75">
      <c r="A123" s="2" t="s">
        <v>65</v>
      </c>
      <c r="D123" s="217">
        <f>D129</f>
        <v>38634</v>
      </c>
      <c r="F123" s="20">
        <v>0.09</v>
      </c>
      <c r="H123" s="21">
        <f>(F123*HOURS)</f>
        <v>1.8749999999999998</v>
      </c>
      <c r="I123" s="21"/>
      <c r="J123" s="5">
        <f>SUM(J126:J129)</f>
        <v>21</v>
      </c>
      <c r="L123" s="76">
        <v>0</v>
      </c>
      <c r="M123" s="76">
        <f>1-(SUM(N123:R123)+L123)</f>
        <v>0.76</v>
      </c>
      <c r="N123" s="20">
        <v>0.18</v>
      </c>
      <c r="O123" s="20">
        <v>0.04</v>
      </c>
      <c r="P123" s="20">
        <v>0.01</v>
      </c>
      <c r="Q123" s="20">
        <v>0.01</v>
      </c>
      <c r="R123" s="20">
        <v>0</v>
      </c>
      <c r="S123" s="22"/>
    </row>
    <row r="124" ht="6.75" customHeight="1">
      <c r="M124" s="27"/>
    </row>
    <row r="125" spans="2:19" s="39" customFormat="1" ht="12.75" customHeight="1">
      <c r="B125" s="38"/>
      <c r="D125" s="88"/>
      <c r="E125" s="88"/>
      <c r="F125" s="89" t="s">
        <v>45</v>
      </c>
      <c r="H125" s="38"/>
      <c r="I125" s="38"/>
      <c r="J125" s="90"/>
      <c r="K125" s="90"/>
      <c r="L125" s="91" t="s">
        <v>46</v>
      </c>
      <c r="M125" s="91"/>
      <c r="N125" s="91"/>
      <c r="O125" s="41"/>
      <c r="P125" s="41"/>
      <c r="Q125" s="41"/>
      <c r="R125" s="91"/>
      <c r="S125" s="89"/>
    </row>
    <row r="126" spans="1:19" ht="14.25" customHeight="1">
      <c r="A126" s="3" t="s">
        <v>44</v>
      </c>
      <c r="B126" s="3">
        <f>B121+1</f>
        <v>37</v>
      </c>
      <c r="D126" s="216">
        <f>D121+7</f>
        <v>38613</v>
      </c>
      <c r="E126" s="19"/>
      <c r="F126" s="20">
        <v>0.23</v>
      </c>
      <c r="H126" s="21">
        <f>H123*F126</f>
        <v>0.43124999999999997</v>
      </c>
      <c r="I126" s="21"/>
      <c r="J126" s="5">
        <f>VLOOKUP(H126,TABLE,2,TRUE)</f>
        <v>5</v>
      </c>
      <c r="L126" s="79">
        <f>(H126*L123)</f>
        <v>0</v>
      </c>
      <c r="M126" s="79">
        <f>(H126*M123)</f>
        <v>0.32775</v>
      </c>
      <c r="N126" s="79">
        <f>(H126*N123)</f>
        <v>0.07762499999999999</v>
      </c>
      <c r="O126" s="79">
        <f>(H126*O123)</f>
        <v>0.017249999999999998</v>
      </c>
      <c r="P126" s="79">
        <f>(H126*P123)</f>
        <v>0.0043124999999999995</v>
      </c>
      <c r="Q126" s="79">
        <f>(H126*Q123)</f>
        <v>0.0043124999999999995</v>
      </c>
      <c r="R126" s="79">
        <f>(H126*R123)</f>
        <v>0</v>
      </c>
      <c r="S126" s="24"/>
    </row>
    <row r="127" spans="1:19" ht="14.25" customHeight="1">
      <c r="A127" s="3" t="s">
        <v>44</v>
      </c>
      <c r="B127" s="3">
        <f>B126+1</f>
        <v>38</v>
      </c>
      <c r="D127" s="216">
        <f>D126+7</f>
        <v>38620</v>
      </c>
      <c r="E127" s="19"/>
      <c r="F127" s="20">
        <v>0.26</v>
      </c>
      <c r="H127" s="21">
        <f>H123*F127</f>
        <v>0.48749999999999993</v>
      </c>
      <c r="I127" s="21"/>
      <c r="J127" s="5">
        <f>VLOOKUP(H127,TABLE,2,TRUE)</f>
        <v>5</v>
      </c>
      <c r="L127" s="79">
        <f>(H127*L123)</f>
        <v>0</v>
      </c>
      <c r="M127" s="79">
        <f>(H127*M123)</f>
        <v>0.37049999999999994</v>
      </c>
      <c r="N127" s="79">
        <f>(H127*N123)</f>
        <v>0.08774999999999998</v>
      </c>
      <c r="O127" s="79">
        <f>(H127*O123)</f>
        <v>0.019499999999999997</v>
      </c>
      <c r="P127" s="79">
        <f>(H127*P123)</f>
        <v>0.004874999999999999</v>
      </c>
      <c r="Q127" s="79">
        <f>(H127*Q123)</f>
        <v>0.004874999999999999</v>
      </c>
      <c r="R127" s="79">
        <f>(H127*R123)</f>
        <v>0</v>
      </c>
      <c r="S127" s="24"/>
    </row>
    <row r="128" spans="1:19" ht="14.25" customHeight="1">
      <c r="A128" s="3" t="s">
        <v>44</v>
      </c>
      <c r="B128" s="3">
        <f>B127+1</f>
        <v>39</v>
      </c>
      <c r="D128" s="216">
        <f>D127+7</f>
        <v>38627</v>
      </c>
      <c r="E128" s="19"/>
      <c r="F128" s="20">
        <v>0.29</v>
      </c>
      <c r="H128" s="21">
        <f>H123*F128</f>
        <v>0.5437499999999998</v>
      </c>
      <c r="I128" s="21"/>
      <c r="J128" s="5">
        <f>VLOOKUP(H128,TABLE,2,TRUE)</f>
        <v>6</v>
      </c>
      <c r="L128" s="79">
        <f>(H128*L123)</f>
        <v>0</v>
      </c>
      <c r="M128" s="79">
        <f>(H128*M123)</f>
        <v>0.4132499999999999</v>
      </c>
      <c r="N128" s="79">
        <f>(H128*N123)</f>
        <v>0.09787499999999996</v>
      </c>
      <c r="O128" s="79">
        <f>(H128*O123)</f>
        <v>0.021749999999999995</v>
      </c>
      <c r="P128" s="79">
        <f>(H128*P123)</f>
        <v>0.005437499999999999</v>
      </c>
      <c r="Q128" s="79">
        <f>(H128*Q123)</f>
        <v>0.005437499999999999</v>
      </c>
      <c r="R128" s="79">
        <f>(H128*R123)</f>
        <v>0</v>
      </c>
      <c r="S128" s="24"/>
    </row>
    <row r="129" spans="1:19" ht="14.25" customHeight="1">
      <c r="A129" s="3" t="s">
        <v>44</v>
      </c>
      <c r="B129" s="3">
        <f>B128+1</f>
        <v>40</v>
      </c>
      <c r="D129" s="216">
        <f>D128+7</f>
        <v>38634</v>
      </c>
      <c r="E129" s="19"/>
      <c r="F129" s="20">
        <f>1-SUM(F126:F128)</f>
        <v>0.21999999999999997</v>
      </c>
      <c r="H129" s="21">
        <f>H123*F129</f>
        <v>0.4124999999999999</v>
      </c>
      <c r="I129" s="21"/>
      <c r="J129" s="5">
        <f>VLOOKUP(H129,TABLE,2,TRUE)</f>
        <v>5</v>
      </c>
      <c r="L129" s="79">
        <f>(H129*L123)</f>
        <v>0</v>
      </c>
      <c r="M129" s="79">
        <f>(H129*M123)</f>
        <v>0.31349999999999995</v>
      </c>
      <c r="N129" s="79">
        <f>(H129*N123)</f>
        <v>0.07424999999999998</v>
      </c>
      <c r="O129" s="79">
        <f>(H129*O123)</f>
        <v>0.016499999999999997</v>
      </c>
      <c r="P129" s="79">
        <f>(H129*P123)</f>
        <v>0.004124999999999999</v>
      </c>
      <c r="Q129" s="79">
        <f>(H129*Q123)</f>
        <v>0.004124999999999999</v>
      </c>
      <c r="R129" s="79">
        <f>(H129*R123)</f>
        <v>0</v>
      </c>
      <c r="S129" s="24"/>
    </row>
    <row r="130" spans="1:24" ht="14.25" customHeight="1">
      <c r="A130" s="8"/>
      <c r="B130" s="9"/>
      <c r="C130" s="8"/>
      <c r="D130" s="10"/>
      <c r="E130" s="10"/>
      <c r="F130" s="11"/>
      <c r="G130" s="8"/>
      <c r="H130" s="9"/>
      <c r="I130" s="9"/>
      <c r="J130" s="11"/>
      <c r="K130" s="11"/>
      <c r="L130" s="11"/>
      <c r="M130" s="11"/>
      <c r="N130" s="11"/>
      <c r="O130" s="11"/>
      <c r="P130" s="11"/>
      <c r="Q130" s="11"/>
      <c r="R130" s="11"/>
      <c r="S130" s="8"/>
      <c r="T130" s="8"/>
      <c r="U130" s="8"/>
      <c r="V130" s="8"/>
      <c r="W130" s="8"/>
      <c r="X130" s="8"/>
    </row>
    <row r="131" spans="1:19" ht="12.75">
      <c r="A131" s="2" t="s">
        <v>66</v>
      </c>
      <c r="D131" s="217">
        <f>D137</f>
        <v>38662</v>
      </c>
      <c r="F131" s="20">
        <v>0.09</v>
      </c>
      <c r="H131" s="21">
        <f>(F131*HOURS)</f>
        <v>1.8749999999999998</v>
      </c>
      <c r="I131" s="21"/>
      <c r="J131" s="5">
        <f>SUM(J134:J137)</f>
        <v>21</v>
      </c>
      <c r="L131" s="76">
        <v>0</v>
      </c>
      <c r="M131" s="76">
        <f>1-(SUM(N131:R131)+L131)</f>
        <v>0.78</v>
      </c>
      <c r="N131" s="20">
        <v>0.12</v>
      </c>
      <c r="O131" s="20">
        <v>0.08</v>
      </c>
      <c r="P131" s="20">
        <v>0.01</v>
      </c>
      <c r="Q131" s="20">
        <v>0.01</v>
      </c>
      <c r="R131" s="20">
        <v>0</v>
      </c>
      <c r="S131" s="22"/>
    </row>
    <row r="132" ht="6.75" customHeight="1">
      <c r="M132" s="27"/>
    </row>
    <row r="133" spans="2:19" s="39" customFormat="1" ht="12.75" customHeight="1">
      <c r="B133" s="38"/>
      <c r="D133" s="88"/>
      <c r="E133" s="88"/>
      <c r="F133" s="89" t="s">
        <v>45</v>
      </c>
      <c r="H133" s="38"/>
      <c r="I133" s="38"/>
      <c r="J133" s="90"/>
      <c r="K133" s="90"/>
      <c r="L133" s="91" t="s">
        <v>46</v>
      </c>
      <c r="M133" s="91"/>
      <c r="N133" s="91"/>
      <c r="O133" s="41"/>
      <c r="P133" s="41"/>
      <c r="Q133" s="41"/>
      <c r="R133" s="91"/>
      <c r="S133" s="89"/>
    </row>
    <row r="134" spans="1:19" ht="14.25" customHeight="1">
      <c r="A134" s="3" t="s">
        <v>44</v>
      </c>
      <c r="B134" s="3">
        <f>B129+1</f>
        <v>41</v>
      </c>
      <c r="D134" s="216">
        <f>D129+7</f>
        <v>38641</v>
      </c>
      <c r="E134" s="19"/>
      <c r="F134" s="20">
        <v>0.23</v>
      </c>
      <c r="H134" s="21">
        <f>H131*F134</f>
        <v>0.43124999999999997</v>
      </c>
      <c r="I134" s="21"/>
      <c r="J134" s="5">
        <f>VLOOKUP(H134,TABLE,2,TRUE)</f>
        <v>5</v>
      </c>
      <c r="L134" s="79">
        <f>(H134*L131)</f>
        <v>0</v>
      </c>
      <c r="M134" s="79">
        <f>(H134*M131)</f>
        <v>0.336375</v>
      </c>
      <c r="N134" s="79">
        <f>(H134*N131)</f>
        <v>0.05175</v>
      </c>
      <c r="O134" s="79">
        <f>(H134*O131)</f>
        <v>0.034499999999999996</v>
      </c>
      <c r="P134" s="79">
        <f>(H134*P131)</f>
        <v>0.0043124999999999995</v>
      </c>
      <c r="Q134" s="79">
        <f>(H134*Q131)</f>
        <v>0.0043124999999999995</v>
      </c>
      <c r="R134" s="79">
        <f>(H134*R131)</f>
        <v>0</v>
      </c>
      <c r="S134" s="24"/>
    </row>
    <row r="135" spans="1:19" ht="14.25" customHeight="1">
      <c r="A135" s="3" t="s">
        <v>44</v>
      </c>
      <c r="B135" s="3">
        <f>B134+1</f>
        <v>42</v>
      </c>
      <c r="D135" s="216">
        <f>D134+7</f>
        <v>38648</v>
      </c>
      <c r="E135" s="19"/>
      <c r="F135" s="20">
        <v>0.26</v>
      </c>
      <c r="H135" s="21">
        <f>H131*F135</f>
        <v>0.48749999999999993</v>
      </c>
      <c r="I135" s="21"/>
      <c r="J135" s="5">
        <f>VLOOKUP(H135,TABLE,2,TRUE)</f>
        <v>5</v>
      </c>
      <c r="L135" s="79">
        <f>(H135*L131)</f>
        <v>0</v>
      </c>
      <c r="M135" s="79">
        <f>(H135*M131)</f>
        <v>0.38025</v>
      </c>
      <c r="N135" s="79">
        <f>(H135*N131)</f>
        <v>0.05849999999999999</v>
      </c>
      <c r="O135" s="79">
        <f>(H135*O131)</f>
        <v>0.03899999999999999</v>
      </c>
      <c r="P135" s="79">
        <f>(H135*P131)</f>
        <v>0.004874999999999999</v>
      </c>
      <c r="Q135" s="79">
        <f>(H135*Q131)</f>
        <v>0.004874999999999999</v>
      </c>
      <c r="R135" s="79">
        <f>(H135*R131)</f>
        <v>0</v>
      </c>
      <c r="S135" s="24"/>
    </row>
    <row r="136" spans="1:19" ht="14.25" customHeight="1">
      <c r="A136" s="3" t="s">
        <v>44</v>
      </c>
      <c r="B136" s="3">
        <f>B135+1</f>
        <v>43</v>
      </c>
      <c r="D136" s="216">
        <f>D135+7</f>
        <v>38655</v>
      </c>
      <c r="E136" s="19"/>
      <c r="F136" s="20">
        <v>0.29</v>
      </c>
      <c r="H136" s="21">
        <f>H131*F136</f>
        <v>0.5437499999999998</v>
      </c>
      <c r="I136" s="21"/>
      <c r="J136" s="5">
        <f>VLOOKUP(H136,TABLE,2,TRUE)</f>
        <v>6</v>
      </c>
      <c r="L136" s="79">
        <f>(H136*L131)</f>
        <v>0</v>
      </c>
      <c r="M136" s="79">
        <f>(H136*M131)</f>
        <v>0.4241249999999999</v>
      </c>
      <c r="N136" s="79">
        <f>(H136*N131)</f>
        <v>0.06524999999999997</v>
      </c>
      <c r="O136" s="79">
        <f>(H136*O131)</f>
        <v>0.04349999999999999</v>
      </c>
      <c r="P136" s="79">
        <f>(H136*P131)</f>
        <v>0.005437499999999999</v>
      </c>
      <c r="Q136" s="79">
        <f>(H136*Q131)</f>
        <v>0.005437499999999999</v>
      </c>
      <c r="R136" s="79">
        <f>(H136*R131)</f>
        <v>0</v>
      </c>
      <c r="S136" s="24"/>
    </row>
    <row r="137" spans="1:19" ht="14.25" customHeight="1">
      <c r="A137" s="3" t="s">
        <v>44</v>
      </c>
      <c r="B137" s="3">
        <f>B136+1</f>
        <v>44</v>
      </c>
      <c r="D137" s="216">
        <f>D136+7</f>
        <v>38662</v>
      </c>
      <c r="E137" s="19"/>
      <c r="F137" s="20">
        <f>1-SUM(F134:F136)</f>
        <v>0.21999999999999997</v>
      </c>
      <c r="H137" s="21">
        <f>H131*F137</f>
        <v>0.4124999999999999</v>
      </c>
      <c r="I137" s="21"/>
      <c r="J137" s="5">
        <f>VLOOKUP(H137,TABLE,2,TRUE)</f>
        <v>5</v>
      </c>
      <c r="L137" s="79">
        <f>(H137*L131)</f>
        <v>0</v>
      </c>
      <c r="M137" s="79">
        <f>(H137*M131)</f>
        <v>0.3217499999999999</v>
      </c>
      <c r="N137" s="79">
        <f>(H137*N131)</f>
        <v>0.04949999999999999</v>
      </c>
      <c r="O137" s="79">
        <f>(H137*O131)</f>
        <v>0.032999999999999995</v>
      </c>
      <c r="P137" s="79">
        <f>(H137*P131)</f>
        <v>0.004124999999999999</v>
      </c>
      <c r="Q137" s="79">
        <f>(H137*Q131)</f>
        <v>0.004124999999999999</v>
      </c>
      <c r="R137" s="79">
        <f>(H137*R131)</f>
        <v>0</v>
      </c>
      <c r="S137" s="24"/>
    </row>
    <row r="138" spans="1:24" ht="14.25" customHeight="1">
      <c r="A138" s="8"/>
      <c r="B138" s="9"/>
      <c r="C138" s="8"/>
      <c r="D138" s="10"/>
      <c r="E138" s="10"/>
      <c r="F138" s="11"/>
      <c r="G138" s="8"/>
      <c r="H138" s="9"/>
      <c r="I138" s="9"/>
      <c r="J138" s="11"/>
      <c r="K138" s="11"/>
      <c r="L138" s="11"/>
      <c r="M138" s="11"/>
      <c r="N138" s="11"/>
      <c r="O138" s="11"/>
      <c r="P138" s="11"/>
      <c r="Q138" s="11"/>
      <c r="R138" s="11"/>
      <c r="S138" s="8"/>
      <c r="T138" s="8"/>
      <c r="U138" s="8"/>
      <c r="V138" s="8"/>
      <c r="W138" s="8"/>
      <c r="X138" s="8"/>
    </row>
    <row r="139" spans="1:19" ht="12.75">
      <c r="A139" s="2" t="s">
        <v>67</v>
      </c>
      <c r="D139" s="217">
        <f>D145</f>
        <v>38690</v>
      </c>
      <c r="F139" s="20">
        <v>0.1</v>
      </c>
      <c r="H139" s="21">
        <f>(F139*HOURS)</f>
        <v>2.0833333333333335</v>
      </c>
      <c r="I139" s="21"/>
      <c r="J139" s="5">
        <f>SUM(J142:J145)</f>
        <v>22</v>
      </c>
      <c r="L139" s="76">
        <v>0</v>
      </c>
      <c r="M139" s="76">
        <f>1-(SUM(N139:R139)+L139)</f>
        <v>0.74</v>
      </c>
      <c r="N139" s="20">
        <v>0.12</v>
      </c>
      <c r="O139" s="20">
        <v>0.09</v>
      </c>
      <c r="P139" s="20">
        <v>0.04</v>
      </c>
      <c r="Q139" s="20">
        <v>0.01</v>
      </c>
      <c r="R139" s="20">
        <v>0</v>
      </c>
      <c r="S139" s="22"/>
    </row>
    <row r="140" ht="6.75" customHeight="1">
      <c r="M140" s="27"/>
    </row>
    <row r="141" spans="2:19" s="39" customFormat="1" ht="12.75" customHeight="1">
      <c r="B141" s="38"/>
      <c r="D141" s="88"/>
      <c r="E141" s="88"/>
      <c r="F141" s="89" t="s">
        <v>45</v>
      </c>
      <c r="H141" s="38"/>
      <c r="I141" s="38"/>
      <c r="J141" s="90"/>
      <c r="K141" s="90"/>
      <c r="L141" s="91" t="s">
        <v>46</v>
      </c>
      <c r="M141" s="91"/>
      <c r="N141" s="91"/>
      <c r="O141" s="41"/>
      <c r="P141" s="41"/>
      <c r="Q141" s="41"/>
      <c r="R141" s="91"/>
      <c r="S141" s="89"/>
    </row>
    <row r="142" spans="1:19" ht="14.25" customHeight="1">
      <c r="A142" s="3" t="s">
        <v>44</v>
      </c>
      <c r="B142" s="3">
        <f>B137+1</f>
        <v>45</v>
      </c>
      <c r="D142" s="216">
        <f>D137+7</f>
        <v>38669</v>
      </c>
      <c r="E142" s="19"/>
      <c r="F142" s="20">
        <v>0.23</v>
      </c>
      <c r="H142" s="21">
        <f>H139*F142</f>
        <v>0.47916666666666674</v>
      </c>
      <c r="I142" s="21"/>
      <c r="J142" s="5">
        <f>VLOOKUP(H142,TABLE,2,TRUE)</f>
        <v>5</v>
      </c>
      <c r="L142" s="79">
        <f>(H142*L139)</f>
        <v>0</v>
      </c>
      <c r="M142" s="79">
        <f>(H142*M139)</f>
        <v>0.35458333333333336</v>
      </c>
      <c r="N142" s="79">
        <f>(H142*N139)</f>
        <v>0.05750000000000001</v>
      </c>
      <c r="O142" s="79">
        <f>(H142*O139)</f>
        <v>0.043125000000000004</v>
      </c>
      <c r="P142" s="79">
        <f>(H142*P139)</f>
        <v>0.01916666666666667</v>
      </c>
      <c r="Q142" s="79">
        <f>(H142*Q139)</f>
        <v>0.004791666666666667</v>
      </c>
      <c r="R142" s="79">
        <f>(H142*R139)</f>
        <v>0</v>
      </c>
      <c r="S142" s="24"/>
    </row>
    <row r="143" spans="1:19" ht="14.25" customHeight="1">
      <c r="A143" s="3" t="s">
        <v>44</v>
      </c>
      <c r="B143" s="3">
        <f>B142+1</f>
        <v>46</v>
      </c>
      <c r="D143" s="216">
        <f>D142+7</f>
        <v>38676</v>
      </c>
      <c r="E143" s="19"/>
      <c r="F143" s="20">
        <v>0.26</v>
      </c>
      <c r="H143" s="21">
        <f>H139*F143</f>
        <v>0.5416666666666667</v>
      </c>
      <c r="I143" s="21"/>
      <c r="J143" s="5">
        <f>VLOOKUP(H143,TABLE,2,TRUE)</f>
        <v>6</v>
      </c>
      <c r="L143" s="79">
        <f>(H143*L139)</f>
        <v>0</v>
      </c>
      <c r="M143" s="79">
        <f>(H143*M139)</f>
        <v>0.4008333333333334</v>
      </c>
      <c r="N143" s="79">
        <f>(H143*N139)</f>
        <v>0.065</v>
      </c>
      <c r="O143" s="79">
        <f>(H143*O139)</f>
        <v>0.04875</v>
      </c>
      <c r="P143" s="79">
        <f>(H143*P139)</f>
        <v>0.02166666666666667</v>
      </c>
      <c r="Q143" s="79">
        <f>(H143*Q139)</f>
        <v>0.005416666666666668</v>
      </c>
      <c r="R143" s="79">
        <f>(H143*R139)</f>
        <v>0</v>
      </c>
      <c r="S143" s="24"/>
    </row>
    <row r="144" spans="1:19" ht="14.25" customHeight="1">
      <c r="A144" s="3" t="s">
        <v>44</v>
      </c>
      <c r="B144" s="3">
        <f>B143+1</f>
        <v>47</v>
      </c>
      <c r="D144" s="216">
        <f>D143+7</f>
        <v>38683</v>
      </c>
      <c r="E144" s="19"/>
      <c r="F144" s="20">
        <v>0.29</v>
      </c>
      <c r="H144" s="21">
        <f>H139*F144</f>
        <v>0.6041666666666666</v>
      </c>
      <c r="I144" s="21"/>
      <c r="J144" s="5">
        <f>VLOOKUP(H144,TABLE,2,TRUE)</f>
        <v>6</v>
      </c>
      <c r="L144" s="79">
        <f>(H144*L139)</f>
        <v>0</v>
      </c>
      <c r="M144" s="79">
        <f>(H144*M139)</f>
        <v>0.4470833333333333</v>
      </c>
      <c r="N144" s="79">
        <f>(H144*N139)</f>
        <v>0.0725</v>
      </c>
      <c r="O144" s="79">
        <f>(H144*O139)</f>
        <v>0.05437499999999999</v>
      </c>
      <c r="P144" s="79">
        <f>(H144*P139)</f>
        <v>0.024166666666666666</v>
      </c>
      <c r="Q144" s="79">
        <f>(H144*Q139)</f>
        <v>0.0060416666666666665</v>
      </c>
      <c r="R144" s="79">
        <f>(H144*R139)</f>
        <v>0</v>
      </c>
      <c r="S144" s="24"/>
    </row>
    <row r="145" spans="1:19" ht="14.25" customHeight="1">
      <c r="A145" s="3" t="s">
        <v>44</v>
      </c>
      <c r="B145" s="3">
        <f>B144+1</f>
        <v>48</v>
      </c>
      <c r="D145" s="216">
        <f>D144+7</f>
        <v>38690</v>
      </c>
      <c r="E145" s="19"/>
      <c r="F145" s="20">
        <f>1-SUM(F142:F144)</f>
        <v>0.21999999999999997</v>
      </c>
      <c r="H145" s="21">
        <f>H139*F145</f>
        <v>0.4583333333333333</v>
      </c>
      <c r="I145" s="21"/>
      <c r="J145" s="5">
        <f>VLOOKUP(H145,TABLE,2,TRUE)</f>
        <v>5</v>
      </c>
      <c r="L145" s="79">
        <f>(H145*L139)</f>
        <v>0</v>
      </c>
      <c r="M145" s="79">
        <f>(H145*M139)</f>
        <v>0.33916666666666667</v>
      </c>
      <c r="N145" s="79">
        <f>(H145*N139)</f>
        <v>0.05499999999999999</v>
      </c>
      <c r="O145" s="79">
        <f>(H145*O139)</f>
        <v>0.041249999999999995</v>
      </c>
      <c r="P145" s="79">
        <f>(H145*P139)</f>
        <v>0.018333333333333333</v>
      </c>
      <c r="Q145" s="79">
        <f>(H145*Q139)</f>
        <v>0.004583333333333333</v>
      </c>
      <c r="R145" s="79">
        <f>(H145*R139)</f>
        <v>0</v>
      </c>
      <c r="S145" s="24"/>
    </row>
    <row r="146" spans="6:42" ht="14.25" customHeight="1">
      <c r="F146" s="94"/>
      <c r="Y146" s="30"/>
      <c r="Z146" s="30"/>
      <c r="AA146" s="30"/>
      <c r="AB146" s="30"/>
      <c r="AC146" s="62"/>
      <c r="AD146" s="76"/>
      <c r="AE146" s="31"/>
      <c r="AF146" s="31"/>
      <c r="AG146" s="25"/>
      <c r="AH146" s="31"/>
      <c r="AI146" s="31"/>
      <c r="AJ146" s="25"/>
      <c r="AK146" s="31"/>
      <c r="AL146" s="31"/>
      <c r="AM146" s="25"/>
      <c r="AN146" s="31"/>
      <c r="AO146" s="31"/>
      <c r="AP146" s="20"/>
    </row>
    <row r="147" spans="24:42" ht="14.25" customHeight="1">
      <c r="X147" s="12"/>
      <c r="Y147" s="200"/>
      <c r="Z147" s="76"/>
      <c r="AA147" s="200"/>
      <c r="AB147" s="200"/>
      <c r="AC147" s="25"/>
      <c r="AD147" s="76"/>
      <c r="AE147" s="199"/>
      <c r="AF147" s="42"/>
      <c r="AG147" s="25"/>
      <c r="AH147" s="199"/>
      <c r="AI147" s="42"/>
      <c r="AJ147" s="25"/>
      <c r="AK147" s="199"/>
      <c r="AL147" s="42"/>
      <c r="AM147" s="25"/>
      <c r="AN147" s="199"/>
      <c r="AO147" s="42"/>
      <c r="AP147" s="20"/>
    </row>
    <row r="148" spans="25:42" ht="14.25" customHeight="1">
      <c r="Y148" s="200"/>
      <c r="Z148" s="76"/>
      <c r="AA148" s="200"/>
      <c r="AB148" s="200"/>
      <c r="AC148" s="25"/>
      <c r="AD148" s="76"/>
      <c r="AE148" s="120"/>
      <c r="AF148" s="120"/>
      <c r="AG148" s="86"/>
      <c r="AH148" s="120"/>
      <c r="AI148" s="120"/>
      <c r="AJ148" s="86"/>
      <c r="AK148" s="120"/>
      <c r="AL148" s="120"/>
      <c r="AM148" s="76"/>
      <c r="AN148" s="120"/>
      <c r="AO148" s="120"/>
      <c r="AP148" s="20"/>
    </row>
    <row r="149" spans="25:42" ht="14.25" customHeight="1">
      <c r="Y149" s="200"/>
      <c r="Z149" s="76"/>
      <c r="AA149" s="200"/>
      <c r="AB149" s="200"/>
      <c r="AC149" s="68"/>
      <c r="AD149" s="76"/>
      <c r="AE149" s="76"/>
      <c r="AF149" s="76"/>
      <c r="AG149" s="86"/>
      <c r="AH149" s="76"/>
      <c r="AI149" s="76"/>
      <c r="AJ149" s="86"/>
      <c r="AK149" s="76"/>
      <c r="AL149" s="76"/>
      <c r="AM149" s="76"/>
      <c r="AN149" s="76"/>
      <c r="AO149" s="76"/>
      <c r="AP149" s="20"/>
    </row>
    <row r="150" spans="25:42" ht="14.25" customHeight="1">
      <c r="Y150" s="200"/>
      <c r="Z150" s="76"/>
      <c r="AA150" s="200"/>
      <c r="AB150" s="200"/>
      <c r="AC150" s="28"/>
      <c r="AD150" s="28"/>
      <c r="AE150" s="76"/>
      <c r="AF150" s="76"/>
      <c r="AG150" s="64"/>
      <c r="AH150" s="76"/>
      <c r="AI150" s="76"/>
      <c r="AJ150" s="64"/>
      <c r="AK150" s="76"/>
      <c r="AL150" s="76"/>
      <c r="AM150" s="76"/>
      <c r="AN150" s="76"/>
      <c r="AO150" s="76"/>
      <c r="AP150" s="20"/>
    </row>
    <row r="151" spans="24:42" ht="14.25" customHeight="1">
      <c r="X151" s="39"/>
      <c r="Y151" s="200"/>
      <c r="Z151" s="76"/>
      <c r="AA151" s="200"/>
      <c r="AB151" s="200"/>
      <c r="AC151" s="25"/>
      <c r="AD151" s="25"/>
      <c r="AE151" s="76"/>
      <c r="AF151" s="76"/>
      <c r="AG151" s="27"/>
      <c r="AH151" s="76"/>
      <c r="AI151" s="76"/>
      <c r="AJ151" s="27"/>
      <c r="AK151" s="76"/>
      <c r="AL151" s="76"/>
      <c r="AM151" s="76"/>
      <c r="AN151" s="76"/>
      <c r="AO151" s="76"/>
      <c r="AP151" s="20"/>
    </row>
    <row r="152" spans="25:42" ht="14.25" customHeight="1">
      <c r="Y152" s="200"/>
      <c r="Z152" s="76"/>
      <c r="AA152" s="200"/>
      <c r="AB152" s="200"/>
      <c r="AC152" s="25"/>
      <c r="AD152" s="25"/>
      <c r="AE152" s="72"/>
      <c r="AF152" s="72"/>
      <c r="AG152" s="27"/>
      <c r="AH152" s="76"/>
      <c r="AI152" s="76"/>
      <c r="AJ152" s="27"/>
      <c r="AK152" s="76"/>
      <c r="AL152" s="76"/>
      <c r="AM152" s="76"/>
      <c r="AN152" s="76"/>
      <c r="AO152" s="76"/>
      <c r="AP152" s="20"/>
    </row>
    <row r="153" spans="25:42" ht="14.25" customHeight="1">
      <c r="Y153" s="200"/>
      <c r="Z153" s="76"/>
      <c r="AA153" s="200"/>
      <c r="AB153" s="200"/>
      <c r="AC153" s="25"/>
      <c r="AD153" s="25"/>
      <c r="AE153" s="27"/>
      <c r="AF153" s="27"/>
      <c r="AG153" s="27"/>
      <c r="AH153" s="72"/>
      <c r="AI153" s="72"/>
      <c r="AJ153" s="69"/>
      <c r="AK153" s="76"/>
      <c r="AL153" s="76"/>
      <c r="AM153" s="76"/>
      <c r="AN153" s="76"/>
      <c r="AO153" s="76"/>
      <c r="AP153" s="198"/>
    </row>
    <row r="154" spans="25:41" ht="14.25" customHeight="1">
      <c r="Y154" s="25"/>
      <c r="Z154" s="25"/>
      <c r="AA154" s="25"/>
      <c r="AB154" s="25"/>
      <c r="AC154" s="25"/>
      <c r="AD154" s="25"/>
      <c r="AE154" s="30"/>
      <c r="AF154" s="30"/>
      <c r="AG154" s="30"/>
      <c r="AH154" s="30"/>
      <c r="AI154" s="30"/>
      <c r="AJ154" s="30"/>
      <c r="AK154" s="72"/>
      <c r="AL154" s="72"/>
      <c r="AM154" s="76"/>
      <c r="AN154" s="76"/>
      <c r="AO154" s="76"/>
    </row>
    <row r="155" spans="25:41" ht="14.25" customHeight="1">
      <c r="Y155" s="25"/>
      <c r="Z155" s="25"/>
      <c r="AA155" s="25"/>
      <c r="AB155" s="25"/>
      <c r="AC155" s="25"/>
      <c r="AD155" s="25"/>
      <c r="AE155" s="27"/>
      <c r="AF155" s="76"/>
      <c r="AG155" s="27"/>
      <c r="AH155" s="27"/>
      <c r="AI155" s="27"/>
      <c r="AJ155" s="27"/>
      <c r="AK155" s="27"/>
      <c r="AL155" s="27"/>
      <c r="AM155" s="27"/>
      <c r="AN155" s="72"/>
      <c r="AO155" s="72"/>
    </row>
    <row r="156" ht="14.25" customHeight="1"/>
    <row r="157" ht="14.25" customHeight="1"/>
    <row r="158" ht="12.75">
      <c r="AC158" s="44"/>
    </row>
    <row r="159" ht="12.75">
      <c r="AC159" s="44"/>
    </row>
    <row r="160" spans="26:29" ht="12.75">
      <c r="Z160" s="140"/>
      <c r="AA160" s="139"/>
      <c r="AB160" s="44"/>
      <c r="AC160" s="44"/>
    </row>
    <row r="161" spans="26:29" ht="12.75">
      <c r="Z161" s="140"/>
      <c r="AA161" s="139"/>
      <c r="AB161" s="44"/>
      <c r="AC161" s="44"/>
    </row>
    <row r="162" spans="26:29" ht="12.75">
      <c r="Z162" s="140"/>
      <c r="AA162" s="139"/>
      <c r="AB162" s="44"/>
      <c r="AC162" s="44"/>
    </row>
    <row r="163" spans="26:29" ht="12.75">
      <c r="Z163" s="140"/>
      <c r="AA163" s="139"/>
      <c r="AB163" s="44"/>
      <c r="AC163" s="44"/>
    </row>
    <row r="164" spans="26:29" ht="12.75">
      <c r="Z164" s="140"/>
      <c r="AA164" s="139"/>
      <c r="AB164" s="44"/>
      <c r="AC164" s="44"/>
    </row>
    <row r="165" spans="26:29" ht="12.75">
      <c r="Z165" s="140"/>
      <c r="AA165" s="139"/>
      <c r="AB165" s="44"/>
      <c r="AC165" s="44"/>
    </row>
    <row r="166" spans="26:29" ht="12.75">
      <c r="Z166" s="140"/>
      <c r="AA166" s="139"/>
      <c r="AB166" s="44"/>
      <c r="AC166" s="44"/>
    </row>
    <row r="167" spans="26:29" ht="12.75">
      <c r="Z167" s="140"/>
      <c r="AA167" s="139"/>
      <c r="AB167" s="44"/>
      <c r="AC167" s="44"/>
    </row>
    <row r="168" spans="26:29" ht="12.75">
      <c r="Z168" s="140"/>
      <c r="AA168" s="139"/>
      <c r="AB168" s="44"/>
      <c r="AC168" s="44"/>
    </row>
    <row r="169" spans="26:29" ht="12.75">
      <c r="Z169" s="140"/>
      <c r="AA169" s="139"/>
      <c r="AB169" s="44"/>
      <c r="AC169" s="44"/>
    </row>
    <row r="170" spans="26:29" ht="12.75">
      <c r="Z170" s="140"/>
      <c r="AA170" s="139"/>
      <c r="AB170" s="44"/>
      <c r="AC170" s="44"/>
    </row>
    <row r="171" spans="26:29" ht="12.75">
      <c r="Z171" s="140"/>
      <c r="AA171" s="139"/>
      <c r="AB171" s="44"/>
      <c r="AC171" s="44"/>
    </row>
    <row r="172" spans="26:29" ht="12.75">
      <c r="Z172" s="140"/>
      <c r="AA172" s="139"/>
      <c r="AB172" s="44"/>
      <c r="AC172" s="44"/>
    </row>
    <row r="173" spans="26:29" ht="12.75">
      <c r="Z173" s="140"/>
      <c r="AA173" s="139"/>
      <c r="AB173" s="44"/>
      <c r="AC173" s="44"/>
    </row>
  </sheetData>
  <mergeCells count="12">
    <mergeCell ref="V39:W39"/>
    <mergeCell ref="V40:W40"/>
    <mergeCell ref="V35:W36"/>
    <mergeCell ref="T35:U36"/>
    <mergeCell ref="V37:W37"/>
    <mergeCell ref="V38:W38"/>
    <mergeCell ref="F97:M97"/>
    <mergeCell ref="F98:T98"/>
    <mergeCell ref="D34:R34"/>
    <mergeCell ref="D37:R37"/>
    <mergeCell ref="D36:K36"/>
    <mergeCell ref="F95:T95"/>
  </mergeCells>
  <printOptions horizontalCentered="1" verticalCentered="1"/>
  <pageMargins left="0.5" right="0.5" top="0.5" bottom="0.5" header="0.5" footer="0.5"/>
  <pageSetup fitToWidth="2" horizontalDpi="300" verticalDpi="300" orientation="portrait" scale="75" r:id="rId1"/>
  <rowBreaks count="2" manualBreakCount="2">
    <brk id="43" max="41" man="1"/>
    <brk id="104" max="41" man="1"/>
  </rowBreaks>
  <colBreaks count="1" manualBreakCount="1">
    <brk id="24" max="1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7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.00390625" style="3" customWidth="1"/>
    <col min="3" max="3" width="2.57421875" style="2" customWidth="1"/>
    <col min="4" max="4" width="6.00390625" style="4" bestFit="1" customWidth="1"/>
    <col min="5" max="5" width="2.140625" style="4" customWidth="1"/>
    <col min="6" max="6" width="8.140625" style="5" customWidth="1"/>
    <col min="7" max="7" width="1.57421875" style="2" customWidth="1"/>
    <col min="8" max="8" width="6.140625" style="3" customWidth="1"/>
    <col min="9" max="9" width="1.57421875" style="3" customWidth="1"/>
    <col min="10" max="10" width="7.140625" style="5" customWidth="1"/>
    <col min="11" max="11" width="1.57421875" style="5" customWidth="1"/>
    <col min="12" max="18" width="5.8515625" style="5" customWidth="1"/>
    <col min="19" max="19" width="4.28125" style="2" customWidth="1"/>
    <col min="20" max="20" width="8.00390625" style="2" customWidth="1"/>
    <col min="21" max="21" width="7.57421875" style="2" customWidth="1"/>
    <col min="22" max="22" width="6.140625" style="2" customWidth="1"/>
    <col min="23" max="23" width="6.28125" style="2" customWidth="1"/>
    <col min="24" max="24" width="3.7109375" style="2" customWidth="1"/>
    <col min="25" max="41" width="6.421875" style="2" customWidth="1"/>
    <col min="42" max="44" width="6.00390625" style="2" customWidth="1"/>
    <col min="45" max="46" width="6.7109375" style="2" customWidth="1"/>
    <col min="47" max="16384" width="9.140625" style="2" customWidth="1"/>
  </cols>
  <sheetData>
    <row r="1" spans="1:24" ht="12.75" customHeight="1">
      <c r="A1" s="25"/>
      <c r="B1" s="26"/>
      <c r="C1" s="25"/>
      <c r="D1" s="33"/>
      <c r="E1" s="33"/>
      <c r="F1" s="27"/>
      <c r="G1" s="25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  <c r="S1" s="25"/>
      <c r="T1" s="25"/>
      <c r="U1" s="25"/>
      <c r="V1" s="25"/>
      <c r="W1" s="25"/>
      <c r="X1" s="25"/>
    </row>
    <row r="2" spans="1:24" s="37" customFormat="1" ht="18.75" thickBot="1">
      <c r="A2" s="83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138" customFormat="1" ht="19.5" thickBot="1">
      <c r="A3" s="137"/>
      <c r="B3" s="137"/>
      <c r="C3" s="137"/>
      <c r="D3" s="137"/>
      <c r="E3" s="137"/>
      <c r="F3" s="137"/>
      <c r="G3" s="137"/>
      <c r="H3" s="137"/>
      <c r="I3" s="137"/>
      <c r="J3" s="137" t="s">
        <v>28</v>
      </c>
      <c r="K3" s="137"/>
      <c r="L3" s="204">
        <v>20.833333333333332</v>
      </c>
      <c r="M3" s="173" t="s">
        <v>29</v>
      </c>
      <c r="P3" s="137"/>
      <c r="Q3" s="137"/>
      <c r="R3" s="137"/>
      <c r="S3" s="137"/>
      <c r="T3" s="137"/>
      <c r="U3" s="137"/>
      <c r="V3" s="137"/>
      <c r="W3" s="137"/>
      <c r="X3" s="137"/>
    </row>
    <row r="4" spans="1:24" ht="12.75">
      <c r="A4" s="25"/>
      <c r="B4" s="26"/>
      <c r="C4" s="25"/>
      <c r="D4" s="33"/>
      <c r="E4" s="33"/>
      <c r="F4" s="27"/>
      <c r="G4" s="25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5"/>
      <c r="T4" s="25"/>
      <c r="U4" s="25"/>
      <c r="V4" s="25"/>
      <c r="W4" s="25"/>
      <c r="X4" s="25"/>
    </row>
    <row r="5" spans="1:24" s="39" customFormat="1" ht="15.75">
      <c r="A5" s="60" t="s">
        <v>31</v>
      </c>
      <c r="B5" s="55"/>
      <c r="C5" s="56"/>
      <c r="D5" s="57" t="s">
        <v>32</v>
      </c>
      <c r="E5" s="57"/>
      <c r="F5" s="40" t="s">
        <v>33</v>
      </c>
      <c r="G5" s="41"/>
      <c r="H5" s="41"/>
      <c r="I5" s="59" t="s">
        <v>0</v>
      </c>
      <c r="J5" s="58" t="s">
        <v>34</v>
      </c>
      <c r="K5" s="58"/>
      <c r="L5" s="92" t="s">
        <v>35</v>
      </c>
      <c r="M5" s="92"/>
      <c r="N5" s="59"/>
      <c r="O5" s="59"/>
      <c r="P5" s="59"/>
      <c r="Q5" s="59"/>
      <c r="R5" s="59"/>
      <c r="S5" s="59" t="s">
        <v>0</v>
      </c>
      <c r="T5" s="60" t="s">
        <v>36</v>
      </c>
      <c r="U5" s="56"/>
      <c r="V5" s="56"/>
      <c r="W5" s="56"/>
      <c r="X5" s="56"/>
    </row>
    <row r="6" spans="1:24" s="6" customFormat="1" ht="16.5">
      <c r="A6" s="62"/>
      <c r="B6" s="61"/>
      <c r="C6" s="62"/>
      <c r="D6" s="63"/>
      <c r="E6" s="63"/>
      <c r="F6" s="64" t="s">
        <v>39</v>
      </c>
      <c r="G6" s="62"/>
      <c r="H6" s="64" t="s">
        <v>38</v>
      </c>
      <c r="I6" s="64"/>
      <c r="J6" s="64"/>
      <c r="K6" s="64"/>
      <c r="L6" s="40" t="s">
        <v>37</v>
      </c>
      <c r="M6" s="40"/>
      <c r="N6" s="41"/>
      <c r="O6" s="41"/>
      <c r="P6" s="41"/>
      <c r="Q6" s="41"/>
      <c r="R6" s="41"/>
      <c r="S6" s="65" t="s">
        <v>0</v>
      </c>
      <c r="T6" s="62"/>
      <c r="U6" s="62"/>
      <c r="V6" s="62"/>
      <c r="W6" s="62"/>
      <c r="X6" s="62"/>
    </row>
    <row r="7" spans="1:24" ht="16.5" customHeight="1">
      <c r="A7" s="25"/>
      <c r="B7" s="26"/>
      <c r="C7" s="25"/>
      <c r="D7" s="33"/>
      <c r="E7" s="33"/>
      <c r="F7" s="27"/>
      <c r="G7" s="25"/>
      <c r="H7" s="26"/>
      <c r="I7" s="26"/>
      <c r="J7" s="27"/>
      <c r="K7" s="27"/>
      <c r="L7" s="27" t="s">
        <v>5</v>
      </c>
      <c r="M7" s="27" t="s">
        <v>1</v>
      </c>
      <c r="N7" s="27" t="s">
        <v>2</v>
      </c>
      <c r="O7" s="27" t="s">
        <v>3</v>
      </c>
      <c r="P7" s="27" t="s">
        <v>7</v>
      </c>
      <c r="Q7" s="27" t="s">
        <v>8</v>
      </c>
      <c r="R7" s="33" t="s">
        <v>40</v>
      </c>
      <c r="S7" s="25"/>
      <c r="T7" s="25"/>
      <c r="U7" s="25"/>
      <c r="V7" s="25"/>
      <c r="W7" s="25"/>
      <c r="X7" s="25"/>
    </row>
    <row r="8" spans="1:24" ht="12" customHeight="1">
      <c r="A8" s="25"/>
      <c r="B8" s="26"/>
      <c r="C8" s="25"/>
      <c r="D8" s="33"/>
      <c r="E8" s="33"/>
      <c r="F8" s="27"/>
      <c r="G8" s="25"/>
      <c r="H8" s="26"/>
      <c r="I8" s="26"/>
      <c r="J8" s="27"/>
      <c r="K8" s="27"/>
      <c r="M8" s="27"/>
      <c r="N8" s="27"/>
      <c r="O8" s="27"/>
      <c r="P8" s="27"/>
      <c r="Q8" s="27"/>
      <c r="R8" s="27"/>
      <c r="S8" s="25"/>
      <c r="T8" s="25"/>
      <c r="U8" s="25"/>
      <c r="V8" s="25"/>
      <c r="W8" s="25"/>
      <c r="X8" s="25"/>
    </row>
    <row r="9" spans="1:24" s="45" customFormat="1" ht="12.75">
      <c r="A9" s="68" t="s">
        <v>79</v>
      </c>
      <c r="B9" s="67"/>
      <c r="C9" s="68"/>
      <c r="D9" s="225">
        <f>D27</f>
        <v>38424</v>
      </c>
      <c r="E9" s="47"/>
      <c r="F9" s="48">
        <f>SUM(F11,F20)</f>
        <v>0.244</v>
      </c>
      <c r="H9" s="49">
        <f>(F9*HOURS)</f>
        <v>5.083333333333333</v>
      </c>
      <c r="I9" s="49"/>
      <c r="J9" s="50">
        <f>SUM(J11,J20)</f>
        <v>55</v>
      </c>
      <c r="K9" s="50"/>
      <c r="L9" s="51" t="s">
        <v>4</v>
      </c>
      <c r="M9" s="51" t="s">
        <v>4</v>
      </c>
      <c r="N9" s="51" t="s">
        <v>4</v>
      </c>
      <c r="O9" s="51" t="s">
        <v>4</v>
      </c>
      <c r="P9" s="51" t="s">
        <v>4</v>
      </c>
      <c r="Q9" s="51" t="s">
        <v>4</v>
      </c>
      <c r="R9" s="51" t="s">
        <v>4</v>
      </c>
      <c r="S9" s="70"/>
      <c r="T9" s="28"/>
      <c r="U9" s="28"/>
      <c r="V9" s="28"/>
      <c r="W9" s="68"/>
      <c r="X9" s="68"/>
    </row>
    <row r="10" spans="1:24" s="12" customFormat="1" ht="14.25" customHeight="1">
      <c r="A10" s="28"/>
      <c r="B10" s="71"/>
      <c r="C10" s="28"/>
      <c r="D10" s="29"/>
      <c r="E10" s="29"/>
      <c r="F10" s="72"/>
      <c r="G10" s="28"/>
      <c r="H10" s="73"/>
      <c r="I10" s="73"/>
      <c r="J10" s="30"/>
      <c r="K10" s="30"/>
      <c r="M10" s="74"/>
      <c r="N10" s="74"/>
      <c r="O10" s="74"/>
      <c r="P10" s="74"/>
      <c r="Q10" s="74"/>
      <c r="R10" s="74"/>
      <c r="S10" s="74"/>
      <c r="T10" s="28"/>
      <c r="U10" s="28"/>
      <c r="V10" s="28"/>
      <c r="W10" s="28"/>
      <c r="X10" s="28"/>
    </row>
    <row r="11" spans="1:24" ht="12.75">
      <c r="A11" s="25" t="s">
        <v>42</v>
      </c>
      <c r="B11" s="26"/>
      <c r="C11" s="25"/>
      <c r="D11" s="216">
        <f>D18</f>
        <v>38389</v>
      </c>
      <c r="E11" s="33"/>
      <c r="F11" s="76">
        <v>0.116</v>
      </c>
      <c r="G11" s="25"/>
      <c r="H11" s="77">
        <f>(F11*HOURS)</f>
        <v>2.4166666666666665</v>
      </c>
      <c r="I11" s="77"/>
      <c r="J11" s="27">
        <f>SUM(J14:J18)</f>
        <v>27</v>
      </c>
      <c r="K11" s="27"/>
      <c r="L11" s="76">
        <v>0</v>
      </c>
      <c r="M11" s="76">
        <v>0.78</v>
      </c>
      <c r="N11" s="76">
        <v>0.1</v>
      </c>
      <c r="O11" s="76">
        <v>0.08</v>
      </c>
      <c r="P11" s="76">
        <v>0.03</v>
      </c>
      <c r="Q11" s="76">
        <v>0.01</v>
      </c>
      <c r="R11" s="76">
        <v>0</v>
      </c>
      <c r="S11" s="78"/>
      <c r="T11" s="25"/>
      <c r="U11" s="25"/>
      <c r="V11" s="25"/>
      <c r="W11" s="25"/>
      <c r="X11" s="25"/>
    </row>
    <row r="12" spans="1:24" ht="6.75" customHeight="1">
      <c r="A12" s="25"/>
      <c r="B12" s="26"/>
      <c r="C12" s="25"/>
      <c r="D12" s="33"/>
      <c r="E12" s="33"/>
      <c r="F12" s="27"/>
      <c r="G12" s="25"/>
      <c r="H12" s="26"/>
      <c r="I12" s="26"/>
      <c r="J12" s="27"/>
      <c r="K12" s="27"/>
      <c r="M12" s="27"/>
      <c r="N12" s="27"/>
      <c r="O12" s="27"/>
      <c r="P12" s="27"/>
      <c r="Q12" s="27"/>
      <c r="R12" s="27"/>
      <c r="S12" s="25"/>
      <c r="T12" s="25"/>
      <c r="U12" s="25"/>
      <c r="V12" s="25"/>
      <c r="W12" s="25"/>
      <c r="X12" s="25"/>
    </row>
    <row r="13" spans="1:24" s="39" customFormat="1" ht="12" customHeight="1" thickBot="1">
      <c r="A13" s="56"/>
      <c r="B13" s="55"/>
      <c r="C13" s="56"/>
      <c r="D13" s="84"/>
      <c r="E13" s="84"/>
      <c r="F13" s="85" t="s">
        <v>45</v>
      </c>
      <c r="G13" s="56"/>
      <c r="H13" s="55"/>
      <c r="I13" s="55"/>
      <c r="J13" s="86"/>
      <c r="K13" s="86"/>
      <c r="L13" s="91" t="s">
        <v>46</v>
      </c>
      <c r="M13" s="91"/>
      <c r="N13" s="91"/>
      <c r="O13" s="41"/>
      <c r="P13" s="41"/>
      <c r="Q13" s="41"/>
      <c r="R13" s="91"/>
      <c r="S13" s="85"/>
      <c r="T13" s="56"/>
      <c r="U13" s="56"/>
      <c r="V13" s="56"/>
      <c r="W13" s="56"/>
      <c r="X13" s="56"/>
    </row>
    <row r="14" spans="1:24" ht="14.25" customHeight="1" thickBot="1">
      <c r="A14" s="26" t="s">
        <v>44</v>
      </c>
      <c r="B14" s="26">
        <f>B9+1</f>
        <v>1</v>
      </c>
      <c r="C14" s="25"/>
      <c r="D14" s="215">
        <v>38361</v>
      </c>
      <c r="E14" s="75"/>
      <c r="F14" s="20">
        <v>0.182</v>
      </c>
      <c r="G14" s="25"/>
      <c r="H14" s="77">
        <f>H11*F14</f>
        <v>0.4398333333333333</v>
      </c>
      <c r="I14" s="77"/>
      <c r="J14" s="27">
        <f>VLOOKUP(H14,TABLE,2,TRUE)</f>
        <v>5</v>
      </c>
      <c r="K14" s="27"/>
      <c r="L14" s="79">
        <f>(H14*L11)</f>
        <v>0</v>
      </c>
      <c r="M14" s="79">
        <f>(H14*M11)</f>
        <v>0.34307</v>
      </c>
      <c r="N14" s="79">
        <f>(H14*N11)</f>
        <v>0.04398333333333333</v>
      </c>
      <c r="O14" s="79">
        <f>(H14*O11)</f>
        <v>0.035186666666666665</v>
      </c>
      <c r="P14" s="79">
        <f>(H14*P11)</f>
        <v>0.013194999999999998</v>
      </c>
      <c r="Q14" s="79">
        <f>(H14*Q11)</f>
        <v>0.004398333333333333</v>
      </c>
      <c r="R14" s="79">
        <f>(H14*R11)</f>
        <v>0</v>
      </c>
      <c r="S14" s="79"/>
      <c r="T14" s="25"/>
      <c r="U14" s="25"/>
      <c r="V14" s="25"/>
      <c r="W14" s="25"/>
      <c r="X14" s="25"/>
    </row>
    <row r="15" spans="1:24" ht="14.25" customHeight="1">
      <c r="A15" s="26" t="s">
        <v>44</v>
      </c>
      <c r="B15" s="26">
        <f>B14+1</f>
        <v>2</v>
      </c>
      <c r="C15" s="25"/>
      <c r="D15" s="216">
        <f>D14+7</f>
        <v>38368</v>
      </c>
      <c r="E15" s="75"/>
      <c r="F15" s="20">
        <v>0.198</v>
      </c>
      <c r="G15" s="25"/>
      <c r="H15" s="77">
        <f>H11*F15</f>
        <v>0.4785</v>
      </c>
      <c r="I15" s="77"/>
      <c r="J15" s="27">
        <f>VLOOKUP(H15,TABLE,2,TRUE)</f>
        <v>5</v>
      </c>
      <c r="K15" s="27"/>
      <c r="L15" s="79">
        <f>(H15*L11)</f>
        <v>0</v>
      </c>
      <c r="M15" s="79">
        <f>(H15*M11)</f>
        <v>0.37323</v>
      </c>
      <c r="N15" s="79">
        <f>(H15*N11)</f>
        <v>0.047850000000000004</v>
      </c>
      <c r="O15" s="79">
        <f>(H15*O11)</f>
        <v>0.03828</v>
      </c>
      <c r="P15" s="79">
        <f>(H15*P11)</f>
        <v>0.014355</v>
      </c>
      <c r="Q15" s="79">
        <f>(H15*Q11)</f>
        <v>0.004785</v>
      </c>
      <c r="R15" s="79">
        <f>(H15*R11)</f>
        <v>0</v>
      </c>
      <c r="S15" s="79"/>
      <c r="T15" s="25"/>
      <c r="U15" s="25"/>
      <c r="V15" s="25"/>
      <c r="W15" s="25"/>
      <c r="X15" s="25"/>
    </row>
    <row r="16" spans="1:24" ht="14.25" customHeight="1">
      <c r="A16" s="26" t="s">
        <v>44</v>
      </c>
      <c r="B16" s="26">
        <f>B15+1</f>
        <v>3</v>
      </c>
      <c r="C16" s="25"/>
      <c r="D16" s="216">
        <f>D15+7</f>
        <v>38375</v>
      </c>
      <c r="E16" s="75"/>
      <c r="F16" s="20">
        <v>0.214</v>
      </c>
      <c r="G16" s="25"/>
      <c r="H16" s="77">
        <f>H11*F16</f>
        <v>0.5171666666666667</v>
      </c>
      <c r="I16" s="77"/>
      <c r="J16" s="27">
        <f>VLOOKUP(H16,TABLE,2,TRUE)</f>
        <v>6</v>
      </c>
      <c r="K16" s="27"/>
      <c r="L16" s="79">
        <f>(H16*L11)</f>
        <v>0</v>
      </c>
      <c r="M16" s="79">
        <f>(H16*M11)</f>
        <v>0.40339</v>
      </c>
      <c r="N16" s="79">
        <f>(H16*N11)</f>
        <v>0.05171666666666667</v>
      </c>
      <c r="O16" s="79">
        <f>(H16*O11)</f>
        <v>0.04137333333333333</v>
      </c>
      <c r="P16" s="79">
        <f>(H16*P11)</f>
        <v>0.015515</v>
      </c>
      <c r="Q16" s="79">
        <f>(H16*Q11)</f>
        <v>0.005171666666666666</v>
      </c>
      <c r="R16" s="79">
        <f>(H16*R11)</f>
        <v>0</v>
      </c>
      <c r="S16" s="79"/>
      <c r="T16" s="25"/>
      <c r="U16" s="25"/>
      <c r="V16" s="25"/>
      <c r="W16" s="25"/>
      <c r="X16" s="25"/>
    </row>
    <row r="17" spans="1:24" ht="14.25" customHeight="1">
      <c r="A17" s="26" t="s">
        <v>44</v>
      </c>
      <c r="B17" s="26">
        <f>B16+1</f>
        <v>4</v>
      </c>
      <c r="C17" s="25"/>
      <c r="D17" s="216">
        <f>D16+7</f>
        <v>38382</v>
      </c>
      <c r="E17" s="75"/>
      <c r="F17" s="20">
        <v>0.231</v>
      </c>
      <c r="G17" s="25"/>
      <c r="H17" s="77">
        <f>H11*F17</f>
        <v>0.55825</v>
      </c>
      <c r="I17" s="77"/>
      <c r="J17" s="27">
        <f>VLOOKUP(H17,TABLE,2,TRUE)</f>
        <v>6</v>
      </c>
      <c r="K17" s="27"/>
      <c r="L17" s="79">
        <f>(H17*L11)</f>
        <v>0</v>
      </c>
      <c r="M17" s="79">
        <f>(H17*M11)</f>
        <v>0.435435</v>
      </c>
      <c r="N17" s="79">
        <f>(H17*N11)</f>
        <v>0.05582500000000001</v>
      </c>
      <c r="O17" s="79">
        <f>(H17*O11)</f>
        <v>0.044660000000000005</v>
      </c>
      <c r="P17" s="79">
        <f>(H17*P11)</f>
        <v>0.0167475</v>
      </c>
      <c r="Q17" s="79">
        <f>(H17*Q11)</f>
        <v>0.005582500000000001</v>
      </c>
      <c r="R17" s="79">
        <f>(H17*R11)</f>
        <v>0</v>
      </c>
      <c r="S17" s="79"/>
      <c r="T17" s="25"/>
      <c r="U17" s="25"/>
      <c r="V17" s="25"/>
      <c r="W17" s="25"/>
      <c r="X17" s="25"/>
    </row>
    <row r="18" spans="1:24" ht="14.25" customHeight="1">
      <c r="A18" s="26" t="s">
        <v>44</v>
      </c>
      <c r="B18" s="26">
        <f>B17+1</f>
        <v>5</v>
      </c>
      <c r="C18" s="25"/>
      <c r="D18" s="216">
        <f>D17+7</f>
        <v>38389</v>
      </c>
      <c r="E18" s="75"/>
      <c r="F18" s="76">
        <f>1-SUM(F14:F17)</f>
        <v>0.17500000000000004</v>
      </c>
      <c r="G18" s="25"/>
      <c r="H18" s="77">
        <f>H11*F18</f>
        <v>0.4229166666666668</v>
      </c>
      <c r="I18" s="77"/>
      <c r="J18" s="27">
        <f>VLOOKUP(H18,TABLE,2,TRUE)</f>
        <v>5</v>
      </c>
      <c r="K18" s="27"/>
      <c r="L18" s="79">
        <f>(H18*L11)</f>
        <v>0</v>
      </c>
      <c r="M18" s="79">
        <f>(H18*M11)</f>
        <v>0.3298750000000001</v>
      </c>
      <c r="N18" s="79">
        <f>(H18*N11)</f>
        <v>0.04229166666666668</v>
      </c>
      <c r="O18" s="79">
        <f>(H18*O11)</f>
        <v>0.03383333333333334</v>
      </c>
      <c r="P18" s="79">
        <f>(H18*P11)</f>
        <v>0.012687500000000003</v>
      </c>
      <c r="Q18" s="79">
        <f>(H18*Q11)</f>
        <v>0.0042291666666666675</v>
      </c>
      <c r="R18" s="79">
        <f>(H18*R11)</f>
        <v>0</v>
      </c>
      <c r="S18" s="79"/>
      <c r="T18" s="25"/>
      <c r="U18" s="25"/>
      <c r="V18" s="25"/>
      <c r="W18" s="25"/>
      <c r="X18" s="25"/>
    </row>
    <row r="19" spans="1:24" s="8" customFormat="1" ht="14.25" customHeight="1">
      <c r="A19" s="81"/>
      <c r="B19" s="80"/>
      <c r="C19" s="81"/>
      <c r="D19" s="82"/>
      <c r="E19" s="82"/>
      <c r="F19" s="66"/>
      <c r="G19" s="81"/>
      <c r="H19" s="80"/>
      <c r="I19" s="80"/>
      <c r="J19" s="66"/>
      <c r="K19" s="66"/>
      <c r="M19" s="66"/>
      <c r="N19" s="66"/>
      <c r="O19" s="66"/>
      <c r="P19" s="66"/>
      <c r="Q19" s="66"/>
      <c r="R19" s="66"/>
      <c r="S19" s="81"/>
      <c r="T19" s="81"/>
      <c r="U19" s="81"/>
      <c r="V19" s="81"/>
      <c r="W19" s="81"/>
      <c r="X19" s="81"/>
    </row>
    <row r="20" spans="1:24" ht="12.75">
      <c r="A20" s="25" t="s">
        <v>43</v>
      </c>
      <c r="B20" s="26"/>
      <c r="C20" s="25"/>
      <c r="D20" s="216">
        <f>D27</f>
        <v>38424</v>
      </c>
      <c r="E20" s="33"/>
      <c r="F20" s="76">
        <v>0.128</v>
      </c>
      <c r="G20" s="25"/>
      <c r="H20" s="77">
        <f>(F20*HOURS)</f>
        <v>2.6666666666666665</v>
      </c>
      <c r="I20" s="77"/>
      <c r="J20" s="27">
        <f>SUM(J23:J27)</f>
        <v>28</v>
      </c>
      <c r="K20" s="27"/>
      <c r="L20" s="76">
        <v>0</v>
      </c>
      <c r="M20" s="76">
        <f>1-(SUM(N20:R20)+L20)</f>
        <v>0.76</v>
      </c>
      <c r="N20" s="76">
        <v>0.1</v>
      </c>
      <c r="O20" s="76">
        <v>0.09</v>
      </c>
      <c r="P20" s="76">
        <v>0.04</v>
      </c>
      <c r="Q20" s="76">
        <v>0.01</v>
      </c>
      <c r="R20" s="76">
        <v>0</v>
      </c>
      <c r="S20" s="78"/>
      <c r="T20" s="25"/>
      <c r="U20" s="25"/>
      <c r="V20" s="25"/>
      <c r="W20" s="25"/>
      <c r="X20" s="25"/>
    </row>
    <row r="21" spans="1:24" ht="6.75" customHeight="1">
      <c r="A21" s="25"/>
      <c r="B21" s="26"/>
      <c r="C21" s="25"/>
      <c r="D21" s="33"/>
      <c r="E21" s="33"/>
      <c r="F21" s="27"/>
      <c r="G21" s="25"/>
      <c r="H21" s="26"/>
      <c r="I21" s="26"/>
      <c r="J21" s="27"/>
      <c r="K21" s="27"/>
      <c r="M21" s="27"/>
      <c r="N21" s="27"/>
      <c r="O21" s="27"/>
      <c r="P21" s="27"/>
      <c r="Q21" s="27"/>
      <c r="R21" s="27"/>
      <c r="S21" s="25"/>
      <c r="T21" s="25"/>
      <c r="U21" s="25"/>
      <c r="V21" s="25"/>
      <c r="W21" s="25"/>
      <c r="X21" s="25"/>
    </row>
    <row r="22" spans="1:28" s="39" customFormat="1" ht="12" customHeight="1">
      <c r="A22" s="56"/>
      <c r="B22" s="55"/>
      <c r="C22" s="56"/>
      <c r="D22" s="84"/>
      <c r="E22" s="84"/>
      <c r="F22" s="85" t="s">
        <v>45</v>
      </c>
      <c r="G22" s="56"/>
      <c r="H22" s="55"/>
      <c r="I22" s="55"/>
      <c r="J22" s="86"/>
      <c r="K22" s="86"/>
      <c r="L22" s="91" t="s">
        <v>46</v>
      </c>
      <c r="M22" s="91"/>
      <c r="N22" s="91"/>
      <c r="O22" s="41"/>
      <c r="P22" s="41"/>
      <c r="Q22" s="41"/>
      <c r="R22" s="91"/>
      <c r="S22" s="85"/>
      <c r="T22" s="56"/>
      <c r="U22" s="56"/>
      <c r="V22" s="56"/>
      <c r="W22" s="56"/>
      <c r="X22" s="56"/>
      <c r="AB22" s="87"/>
    </row>
    <row r="23" spans="1:24" ht="14.25" customHeight="1">
      <c r="A23" s="26" t="s">
        <v>44</v>
      </c>
      <c r="B23" s="26">
        <f>B18+1</f>
        <v>6</v>
      </c>
      <c r="C23" s="25"/>
      <c r="D23" s="216">
        <f>D18+7</f>
        <v>38396</v>
      </c>
      <c r="E23" s="75"/>
      <c r="F23" s="20">
        <v>0.182</v>
      </c>
      <c r="G23" s="25"/>
      <c r="H23" s="77">
        <f>H20*F23</f>
        <v>0.4853333333333333</v>
      </c>
      <c r="I23" s="77"/>
      <c r="J23" s="27">
        <f>VLOOKUP(H23,TABLE,2,TRUE)</f>
        <v>5</v>
      </c>
      <c r="K23" s="27"/>
      <c r="L23" s="79">
        <f>(H23*L20)</f>
        <v>0</v>
      </c>
      <c r="M23" s="79">
        <f>(H23*M20)</f>
        <v>0.3688533333333333</v>
      </c>
      <c r="N23" s="79">
        <f>(H23*N20)</f>
        <v>0.04853333333333333</v>
      </c>
      <c r="O23" s="79">
        <f>(H23*O20)</f>
        <v>0.04368</v>
      </c>
      <c r="P23" s="79">
        <f>(H23*P20)</f>
        <v>0.01941333333333333</v>
      </c>
      <c r="Q23" s="79">
        <f>(H23*Q20)</f>
        <v>0.004853333333333333</v>
      </c>
      <c r="R23" s="79">
        <f>(H23*R20)</f>
        <v>0</v>
      </c>
      <c r="S23" s="79"/>
      <c r="T23" s="25"/>
      <c r="U23" s="25"/>
      <c r="V23" s="25"/>
      <c r="W23" s="25"/>
      <c r="X23" s="25"/>
    </row>
    <row r="24" spans="1:24" ht="14.25" customHeight="1">
      <c r="A24" s="26" t="s">
        <v>44</v>
      </c>
      <c r="B24" s="26">
        <f>B23+1</f>
        <v>7</v>
      </c>
      <c r="C24" s="25"/>
      <c r="D24" s="216">
        <f>D23+7</f>
        <v>38403</v>
      </c>
      <c r="E24" s="75"/>
      <c r="F24" s="20">
        <v>0.198</v>
      </c>
      <c r="G24" s="25"/>
      <c r="H24" s="77">
        <f>H20*F24</f>
        <v>0.528</v>
      </c>
      <c r="I24" s="77"/>
      <c r="J24" s="27">
        <f>VLOOKUP(H24,TABLE,2,TRUE)</f>
        <v>6</v>
      </c>
      <c r="K24" s="27"/>
      <c r="L24" s="79">
        <f>(H24*L20)</f>
        <v>0</v>
      </c>
      <c r="M24" s="79">
        <f>(H24*M20)</f>
        <v>0.40128</v>
      </c>
      <c r="N24" s="79">
        <f>(H24*N20)</f>
        <v>0.05280000000000001</v>
      </c>
      <c r="O24" s="79">
        <f>(H24*O20)</f>
        <v>0.04752</v>
      </c>
      <c r="P24" s="79">
        <f>(H24*P20)</f>
        <v>0.02112</v>
      </c>
      <c r="Q24" s="79">
        <f>(H24*Q20)</f>
        <v>0.00528</v>
      </c>
      <c r="R24" s="79">
        <f>(H24*R20)</f>
        <v>0</v>
      </c>
      <c r="S24" s="79"/>
      <c r="T24" s="25"/>
      <c r="U24" s="25"/>
      <c r="V24" s="25"/>
      <c r="W24" s="25"/>
      <c r="X24" s="25"/>
    </row>
    <row r="25" spans="1:24" ht="14.25" customHeight="1">
      <c r="A25" s="26" t="s">
        <v>44</v>
      </c>
      <c r="B25" s="26">
        <f>B24+1</f>
        <v>8</v>
      </c>
      <c r="C25" s="25"/>
      <c r="D25" s="216">
        <f>D24+7</f>
        <v>38410</v>
      </c>
      <c r="E25" s="75"/>
      <c r="F25" s="20">
        <v>0.214</v>
      </c>
      <c r="G25" s="25"/>
      <c r="H25" s="77">
        <f>H20*F25</f>
        <v>0.5706666666666667</v>
      </c>
      <c r="I25" s="77"/>
      <c r="J25" s="27">
        <f>VLOOKUP(H25,TABLE,2,TRUE)</f>
        <v>6</v>
      </c>
      <c r="K25" s="27"/>
      <c r="L25" s="79">
        <f>(H25*L20)</f>
        <v>0</v>
      </c>
      <c r="M25" s="79">
        <f>(H25*M20)</f>
        <v>0.4337066666666667</v>
      </c>
      <c r="N25" s="79">
        <f>(H25*N20)</f>
        <v>0.05706666666666667</v>
      </c>
      <c r="O25" s="79">
        <f>(H25*O20)</f>
        <v>0.051359999999999996</v>
      </c>
      <c r="P25" s="79">
        <f>(H25*P20)</f>
        <v>0.022826666666666665</v>
      </c>
      <c r="Q25" s="79">
        <f>(H25*Q20)</f>
        <v>0.005706666666666666</v>
      </c>
      <c r="R25" s="79">
        <f>(H25*R20)</f>
        <v>0</v>
      </c>
      <c r="S25" s="79"/>
      <c r="T25" s="33"/>
      <c r="U25" s="25"/>
      <c r="V25" s="25"/>
      <c r="W25" s="25"/>
      <c r="X25" s="25"/>
    </row>
    <row r="26" spans="1:24" ht="14.25" customHeight="1">
      <c r="A26" s="26" t="s">
        <v>44</v>
      </c>
      <c r="B26" s="26">
        <f>B25+1</f>
        <v>9</v>
      </c>
      <c r="C26" s="25"/>
      <c r="D26" s="216">
        <f>D25+7</f>
        <v>38417</v>
      </c>
      <c r="E26" s="75"/>
      <c r="F26" s="20">
        <v>0.231</v>
      </c>
      <c r="G26" s="25"/>
      <c r="H26" s="77">
        <f>H20*F26</f>
        <v>0.616</v>
      </c>
      <c r="I26" s="77"/>
      <c r="J26" s="27">
        <f>VLOOKUP(H26,TABLE,2,TRUE)</f>
        <v>6</v>
      </c>
      <c r="K26" s="27"/>
      <c r="L26" s="79">
        <f>(H26*L20)</f>
        <v>0</v>
      </c>
      <c r="M26" s="79">
        <f>(H26*M20)</f>
        <v>0.46816</v>
      </c>
      <c r="N26" s="79">
        <f>(H26*N20)</f>
        <v>0.0616</v>
      </c>
      <c r="O26" s="79">
        <f>(H26*O20)</f>
        <v>0.055439999999999996</v>
      </c>
      <c r="P26" s="79">
        <f>(H26*P20)</f>
        <v>0.02464</v>
      </c>
      <c r="Q26" s="79">
        <f>(H26*Q20)</f>
        <v>0.00616</v>
      </c>
      <c r="R26" s="79">
        <f>(H26*R20)</f>
        <v>0</v>
      </c>
      <c r="S26" s="79"/>
      <c r="T26" s="33"/>
      <c r="U26" s="25"/>
      <c r="V26" s="25"/>
      <c r="W26" s="25"/>
      <c r="X26" s="25"/>
    </row>
    <row r="27" spans="1:24" ht="14.25" customHeight="1">
      <c r="A27" s="26" t="s">
        <v>44</v>
      </c>
      <c r="B27" s="26">
        <f>B26+1</f>
        <v>10</v>
      </c>
      <c r="C27" s="25"/>
      <c r="D27" s="216">
        <f>D26+7</f>
        <v>38424</v>
      </c>
      <c r="E27" s="75"/>
      <c r="F27" s="76">
        <f>1-SUM(F23:F26)</f>
        <v>0.17500000000000004</v>
      </c>
      <c r="G27" s="25"/>
      <c r="H27" s="77">
        <f>H20*F27</f>
        <v>0.4666666666666668</v>
      </c>
      <c r="I27" s="77"/>
      <c r="J27" s="27">
        <f>VLOOKUP(H27,TABLE,2,TRUE)</f>
        <v>5</v>
      </c>
      <c r="K27" s="27"/>
      <c r="L27" s="79">
        <f>(H27*L20)</f>
        <v>0</v>
      </c>
      <c r="M27" s="79">
        <f>(H27*M20)</f>
        <v>0.35466666666666674</v>
      </c>
      <c r="N27" s="79">
        <f>(H27*N20)</f>
        <v>0.04666666666666668</v>
      </c>
      <c r="O27" s="79">
        <f>(H27*O20)</f>
        <v>0.04200000000000001</v>
      </c>
      <c r="P27" s="79">
        <f>(H27*P20)</f>
        <v>0.01866666666666667</v>
      </c>
      <c r="Q27" s="79">
        <f>(H27*Q20)</f>
        <v>0.004666666666666668</v>
      </c>
      <c r="R27" s="79">
        <f>(H27*R20)</f>
        <v>0</v>
      </c>
      <c r="S27" s="79"/>
      <c r="T27" s="33"/>
      <c r="U27" s="25"/>
      <c r="V27" s="25"/>
      <c r="W27" s="25"/>
      <c r="X27" s="25"/>
    </row>
    <row r="28" spans="1:24" s="8" customFormat="1" ht="14.25" customHeight="1">
      <c r="A28" s="81"/>
      <c r="B28" s="80"/>
      <c r="C28" s="81"/>
      <c r="D28" s="82"/>
      <c r="E28" s="82"/>
      <c r="F28" s="66"/>
      <c r="G28" s="81"/>
      <c r="H28" s="80"/>
      <c r="I28" s="80"/>
      <c r="J28" s="66"/>
      <c r="K28" s="66"/>
      <c r="M28" s="66"/>
      <c r="N28" s="66"/>
      <c r="O28" s="66"/>
      <c r="P28" s="66"/>
      <c r="Q28" s="66"/>
      <c r="R28" s="66"/>
      <c r="S28" s="81"/>
      <c r="T28" s="81"/>
      <c r="U28" s="81"/>
      <c r="V28" s="81"/>
      <c r="W28" s="81"/>
      <c r="X28" s="81"/>
    </row>
    <row r="29" spans="1:43" ht="12.75">
      <c r="A29" s="25"/>
      <c r="B29" s="26"/>
      <c r="C29" s="25"/>
      <c r="D29" s="75"/>
      <c r="E29" s="33"/>
      <c r="F29" s="27"/>
      <c r="G29" s="25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5"/>
      <c r="T29" s="25"/>
      <c r="U29" s="25"/>
      <c r="V29" s="25"/>
      <c r="W29" s="25"/>
      <c r="X29" s="25"/>
      <c r="Z29" s="26"/>
      <c r="AA29" s="26"/>
      <c r="AB29" s="25"/>
      <c r="AC29" s="75"/>
      <c r="AD29" s="75"/>
      <c r="AE29" s="76"/>
      <c r="AF29" s="25"/>
      <c r="AG29" s="77"/>
      <c r="AH29" s="77"/>
      <c r="AI29" s="27"/>
      <c r="AJ29" s="27"/>
      <c r="AK29" s="79"/>
      <c r="AL29" s="79"/>
      <c r="AM29" s="79"/>
      <c r="AN29" s="79"/>
      <c r="AO29" s="79"/>
      <c r="AP29" s="79"/>
      <c r="AQ29" s="79"/>
    </row>
    <row r="30" spans="1:24" ht="13.5" thickBot="1">
      <c r="A30" s="25"/>
      <c r="B30" s="26"/>
      <c r="C30" s="25"/>
      <c r="D30" s="33"/>
      <c r="E30" s="33"/>
      <c r="F30" s="27"/>
      <c r="G30" s="25"/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5"/>
      <c r="T30" s="25"/>
      <c r="U30" s="25"/>
      <c r="V30" s="25"/>
      <c r="W30" s="25"/>
      <c r="X30" s="25"/>
    </row>
    <row r="31" spans="1:24" ht="15.75">
      <c r="A31" s="25"/>
      <c r="B31" s="26"/>
      <c r="C31" s="25"/>
      <c r="D31" s="176" t="s">
        <v>47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77"/>
      <c r="Q31" s="177"/>
      <c r="R31" s="146"/>
      <c r="V31" s="42" t="s">
        <v>0</v>
      </c>
      <c r="W31" s="25" t="s">
        <v>0</v>
      </c>
      <c r="X31" s="25"/>
    </row>
    <row r="32" spans="1:24" ht="13.5" thickBot="1">
      <c r="A32" s="25"/>
      <c r="B32" s="26"/>
      <c r="C32" s="25"/>
      <c r="D32" s="231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3"/>
      <c r="V32" s="25"/>
      <c r="W32" s="25"/>
      <c r="X32" s="25"/>
    </row>
    <row r="33" spans="1:23" s="12" customFormat="1" ht="13.5" customHeight="1" thickBot="1">
      <c r="A33" s="28"/>
      <c r="B33" s="71"/>
      <c r="C33" s="28"/>
      <c r="D33" s="218" t="s">
        <v>48</v>
      </c>
      <c r="E33" s="219" t="s">
        <v>49</v>
      </c>
      <c r="F33" s="220"/>
      <c r="G33" s="220"/>
      <c r="H33" s="221"/>
      <c r="I33" s="221"/>
      <c r="J33" s="221"/>
      <c r="K33" s="221"/>
      <c r="L33" s="222" t="s">
        <v>55</v>
      </c>
      <c r="M33" s="223"/>
      <c r="N33" s="222"/>
      <c r="O33" s="222"/>
      <c r="P33" s="222"/>
      <c r="Q33" s="222"/>
      <c r="R33" s="224"/>
      <c r="T33" s="243" t="s">
        <v>56</v>
      </c>
      <c r="U33" s="244"/>
      <c r="V33" s="239" t="s">
        <v>57</v>
      </c>
      <c r="W33" s="240"/>
    </row>
    <row r="34" spans="3:23" ht="14.25" customHeight="1" thickBot="1">
      <c r="C34" s="25"/>
      <c r="D34" s="231"/>
      <c r="E34" s="234"/>
      <c r="F34" s="234"/>
      <c r="G34" s="234"/>
      <c r="H34" s="234"/>
      <c r="I34" s="234"/>
      <c r="J34" s="234"/>
      <c r="K34" s="234"/>
      <c r="L34" s="206">
        <v>250</v>
      </c>
      <c r="M34" s="32">
        <f aca="true" t="shared" si="0" ref="M34:R34">L34+5</f>
        <v>255</v>
      </c>
      <c r="N34" s="32">
        <f t="shared" si="0"/>
        <v>260</v>
      </c>
      <c r="O34" s="32">
        <f t="shared" si="0"/>
        <v>265</v>
      </c>
      <c r="P34" s="32">
        <f t="shared" si="0"/>
        <v>270</v>
      </c>
      <c r="Q34" s="32">
        <f t="shared" si="0"/>
        <v>275</v>
      </c>
      <c r="R34" s="181">
        <f t="shared" si="0"/>
        <v>280</v>
      </c>
      <c r="T34" s="245"/>
      <c r="U34" s="246"/>
      <c r="V34" s="241"/>
      <c r="W34" s="242"/>
    </row>
    <row r="35" spans="3:23" ht="14.25" customHeight="1">
      <c r="C35" s="25"/>
      <c r="D35" s="231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3"/>
      <c r="T35" s="189" t="s">
        <v>10</v>
      </c>
      <c r="U35" s="191">
        <v>0.20833333333333334</v>
      </c>
      <c r="V35" s="235">
        <v>3</v>
      </c>
      <c r="W35" s="236"/>
    </row>
    <row r="36" spans="3:23" ht="14.25" customHeight="1">
      <c r="C36" s="25"/>
      <c r="D36" s="178">
        <v>1</v>
      </c>
      <c r="E36" s="33" t="s">
        <v>50</v>
      </c>
      <c r="F36" s="193"/>
      <c r="G36" s="193"/>
      <c r="H36" s="27"/>
      <c r="I36" s="27"/>
      <c r="J36" s="27"/>
      <c r="K36" s="27"/>
      <c r="L36" s="34">
        <f aca="true" t="shared" si="1" ref="L36:R36">L34*0.55</f>
        <v>137.5</v>
      </c>
      <c r="M36" s="34">
        <f t="shared" si="1"/>
        <v>140.25</v>
      </c>
      <c r="N36" s="34">
        <f t="shared" si="1"/>
        <v>143</v>
      </c>
      <c r="O36" s="34">
        <f t="shared" si="1"/>
        <v>145.75</v>
      </c>
      <c r="P36" s="34">
        <f t="shared" si="1"/>
        <v>148.5</v>
      </c>
      <c r="Q36" s="34">
        <f t="shared" si="1"/>
        <v>151.25</v>
      </c>
      <c r="R36" s="182">
        <f t="shared" si="1"/>
        <v>154</v>
      </c>
      <c r="T36" s="189" t="s">
        <v>10</v>
      </c>
      <c r="U36" s="191">
        <v>0.2916666666666667</v>
      </c>
      <c r="V36" s="235">
        <v>4</v>
      </c>
      <c r="W36" s="236"/>
    </row>
    <row r="37" spans="3:23" ht="14.25" customHeight="1">
      <c r="C37" s="25"/>
      <c r="D37" s="178">
        <v>2</v>
      </c>
      <c r="E37" s="33" t="s">
        <v>51</v>
      </c>
      <c r="F37" s="193"/>
      <c r="G37" s="193"/>
      <c r="H37" s="27"/>
      <c r="I37" s="27"/>
      <c r="J37" s="27"/>
      <c r="K37" s="27"/>
      <c r="L37" s="34">
        <f aca="true" t="shared" si="2" ref="L37:R37">L34*0.75</f>
        <v>187.5</v>
      </c>
      <c r="M37" s="34">
        <f t="shared" si="2"/>
        <v>191.25</v>
      </c>
      <c r="N37" s="34">
        <f t="shared" si="2"/>
        <v>195</v>
      </c>
      <c r="O37" s="34">
        <f t="shared" si="2"/>
        <v>198.75</v>
      </c>
      <c r="P37" s="34">
        <f t="shared" si="2"/>
        <v>202.5</v>
      </c>
      <c r="Q37" s="34">
        <f t="shared" si="2"/>
        <v>206.25</v>
      </c>
      <c r="R37" s="182">
        <f t="shared" si="2"/>
        <v>210</v>
      </c>
      <c r="T37" s="189" t="s">
        <v>10</v>
      </c>
      <c r="U37" s="191">
        <v>0.3958333333333333</v>
      </c>
      <c r="V37" s="235">
        <v>5</v>
      </c>
      <c r="W37" s="236"/>
    </row>
    <row r="38" spans="1:23" ht="14.25" customHeight="1" thickBot="1">
      <c r="A38" s="25"/>
      <c r="B38" s="26"/>
      <c r="C38" s="25"/>
      <c r="D38" s="178">
        <v>3</v>
      </c>
      <c r="E38" s="33" t="s">
        <v>52</v>
      </c>
      <c r="F38" s="193"/>
      <c r="G38" s="193"/>
      <c r="H38" s="27"/>
      <c r="I38" s="27"/>
      <c r="J38" s="27"/>
      <c r="K38" s="27"/>
      <c r="L38" s="34">
        <f aca="true" t="shared" si="3" ref="L38:R38">L34*0.9</f>
        <v>225</v>
      </c>
      <c r="M38" s="34">
        <f t="shared" si="3"/>
        <v>229.5</v>
      </c>
      <c r="N38" s="34">
        <f t="shared" si="3"/>
        <v>234</v>
      </c>
      <c r="O38" s="34">
        <f t="shared" si="3"/>
        <v>238.5</v>
      </c>
      <c r="P38" s="34">
        <f t="shared" si="3"/>
        <v>243</v>
      </c>
      <c r="Q38" s="34">
        <f t="shared" si="3"/>
        <v>247.5</v>
      </c>
      <c r="R38" s="182">
        <f t="shared" si="3"/>
        <v>252</v>
      </c>
      <c r="T38" s="190" t="s">
        <v>10</v>
      </c>
      <c r="U38" s="192">
        <v>0.5</v>
      </c>
      <c r="V38" s="237">
        <v>6</v>
      </c>
      <c r="W38" s="238"/>
    </row>
    <row r="39" spans="1:24" ht="14.25" customHeight="1">
      <c r="A39" s="25"/>
      <c r="B39" s="26"/>
      <c r="C39" s="25"/>
      <c r="D39" s="178">
        <v>4</v>
      </c>
      <c r="E39" s="33" t="s">
        <v>53</v>
      </c>
      <c r="F39" s="193"/>
      <c r="G39" s="193"/>
      <c r="H39" s="27"/>
      <c r="I39" s="27"/>
      <c r="J39" s="27"/>
      <c r="K39" s="27"/>
      <c r="L39" s="34">
        <f aca="true" t="shared" si="4" ref="L39:R39">L34*1.05</f>
        <v>262.5</v>
      </c>
      <c r="M39" s="34">
        <f t="shared" si="4"/>
        <v>267.75</v>
      </c>
      <c r="N39" s="34">
        <f t="shared" si="4"/>
        <v>273</v>
      </c>
      <c r="O39" s="34">
        <f t="shared" si="4"/>
        <v>278.25</v>
      </c>
      <c r="P39" s="34">
        <f t="shared" si="4"/>
        <v>283.5</v>
      </c>
      <c r="Q39" s="34">
        <f t="shared" si="4"/>
        <v>288.75</v>
      </c>
      <c r="R39" s="182">
        <f t="shared" si="4"/>
        <v>294</v>
      </c>
      <c r="V39" s="25"/>
      <c r="W39" s="25"/>
      <c r="X39" s="25"/>
    </row>
    <row r="40" spans="1:24" ht="14.25" customHeight="1" thickBot="1">
      <c r="A40" s="25"/>
      <c r="B40" s="26"/>
      <c r="C40" s="25"/>
      <c r="D40" s="183">
        <v>5</v>
      </c>
      <c r="E40" s="184" t="s">
        <v>54</v>
      </c>
      <c r="F40" s="194"/>
      <c r="G40" s="194"/>
      <c r="H40" s="186"/>
      <c r="I40" s="186"/>
      <c r="J40" s="186"/>
      <c r="K40" s="186"/>
      <c r="L40" s="187">
        <f aca="true" t="shared" si="5" ref="L40:R40">L34*1.2</f>
        <v>300</v>
      </c>
      <c r="M40" s="187">
        <f t="shared" si="5"/>
        <v>306</v>
      </c>
      <c r="N40" s="187">
        <f t="shared" si="5"/>
        <v>312</v>
      </c>
      <c r="O40" s="187">
        <f t="shared" si="5"/>
        <v>318</v>
      </c>
      <c r="P40" s="187">
        <f t="shared" si="5"/>
        <v>324</v>
      </c>
      <c r="Q40" s="187">
        <f t="shared" si="5"/>
        <v>330</v>
      </c>
      <c r="R40" s="188">
        <f t="shared" si="5"/>
        <v>336</v>
      </c>
      <c r="V40" s="25"/>
      <c r="W40" s="25"/>
      <c r="X40" s="25"/>
    </row>
    <row r="41" spans="1:24" ht="14.25" customHeight="1">
      <c r="A41" s="25"/>
      <c r="B41" s="26"/>
      <c r="C41" s="25"/>
      <c r="D41" s="27"/>
      <c r="E41" s="33"/>
      <c r="F41" s="193"/>
      <c r="G41" s="193"/>
      <c r="H41" s="27"/>
      <c r="I41" s="27"/>
      <c r="J41" s="27"/>
      <c r="K41" s="27"/>
      <c r="L41" s="34"/>
      <c r="M41" s="34"/>
      <c r="N41" s="34"/>
      <c r="O41" s="34"/>
      <c r="P41" s="34"/>
      <c r="Q41" s="34"/>
      <c r="R41" s="34"/>
      <c r="V41" s="25"/>
      <c r="W41" s="25"/>
      <c r="X41" s="25"/>
    </row>
    <row r="42" spans="1:24" ht="12.75">
      <c r="A42" s="25"/>
      <c r="B42" s="26"/>
      <c r="C42" s="25"/>
      <c r="D42" s="33"/>
      <c r="E42" s="33"/>
      <c r="F42" s="27"/>
      <c r="G42" s="25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5"/>
      <c r="T42" s="25"/>
      <c r="U42" s="25"/>
      <c r="V42" s="25"/>
      <c r="W42" s="25"/>
      <c r="X42" s="25"/>
    </row>
    <row r="43" spans="1:24" ht="18">
      <c r="A43" s="35" t="s">
        <v>58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8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5.75">
      <c r="A45" s="60" t="s">
        <v>31</v>
      </c>
      <c r="B45" s="55"/>
      <c r="C45" s="56"/>
      <c r="D45" s="57" t="s">
        <v>32</v>
      </c>
      <c r="E45" s="57"/>
      <c r="F45" s="40" t="s">
        <v>33</v>
      </c>
      <c r="G45" s="41"/>
      <c r="H45" s="41"/>
      <c r="I45" s="59" t="s">
        <v>0</v>
      </c>
      <c r="J45" s="58" t="s">
        <v>34</v>
      </c>
      <c r="K45" s="58"/>
      <c r="L45" s="92" t="s">
        <v>35</v>
      </c>
      <c r="M45" s="92"/>
      <c r="N45" s="59"/>
      <c r="O45" s="59"/>
      <c r="P45" s="59"/>
      <c r="Q45" s="59"/>
      <c r="R45" s="59"/>
      <c r="S45" s="59" t="s">
        <v>0</v>
      </c>
      <c r="T45" s="60" t="s">
        <v>36</v>
      </c>
      <c r="U45" s="39"/>
      <c r="V45" s="39"/>
      <c r="W45" s="39"/>
      <c r="X45" s="39"/>
    </row>
    <row r="46" spans="1:24" ht="16.5">
      <c r="A46" s="62"/>
      <c r="B46" s="61"/>
      <c r="C46" s="62"/>
      <c r="D46" s="63"/>
      <c r="E46" s="63"/>
      <c r="F46" s="64" t="s">
        <v>39</v>
      </c>
      <c r="G46" s="62"/>
      <c r="H46" s="64" t="s">
        <v>38</v>
      </c>
      <c r="I46" s="64"/>
      <c r="J46" s="64"/>
      <c r="K46" s="64"/>
      <c r="L46" s="40" t="s">
        <v>37</v>
      </c>
      <c r="M46" s="40"/>
      <c r="N46" s="41"/>
      <c r="O46" s="41"/>
      <c r="P46" s="41"/>
      <c r="Q46" s="41"/>
      <c r="R46" s="41"/>
      <c r="S46" s="65" t="s">
        <v>0</v>
      </c>
      <c r="T46" s="62"/>
      <c r="U46" s="6"/>
      <c r="V46" s="6"/>
      <c r="W46" s="6"/>
      <c r="X46" s="6"/>
    </row>
    <row r="47" spans="1:20" ht="16.5" customHeight="1">
      <c r="A47" s="25"/>
      <c r="B47" s="26"/>
      <c r="C47" s="25"/>
      <c r="D47" s="33"/>
      <c r="E47" s="33"/>
      <c r="F47" s="27"/>
      <c r="G47" s="25"/>
      <c r="H47" s="26"/>
      <c r="I47" s="26"/>
      <c r="J47" s="27"/>
      <c r="K47" s="27"/>
      <c r="L47" s="27" t="s">
        <v>5</v>
      </c>
      <c r="M47" s="27" t="s">
        <v>1</v>
      </c>
      <c r="N47" s="27" t="s">
        <v>2</v>
      </c>
      <c r="O47" s="27" t="s">
        <v>3</v>
      </c>
      <c r="P47" s="27" t="s">
        <v>7</v>
      </c>
      <c r="Q47" s="27" t="s">
        <v>8</v>
      </c>
      <c r="R47" s="33" t="s">
        <v>40</v>
      </c>
      <c r="S47" s="25"/>
      <c r="T47" s="25"/>
    </row>
    <row r="50" spans="1:22" s="45" customFormat="1" ht="12.75">
      <c r="A50" s="45" t="s">
        <v>80</v>
      </c>
      <c r="B50" s="46"/>
      <c r="D50" s="225">
        <f>D60</f>
        <v>38480</v>
      </c>
      <c r="E50" s="47"/>
      <c r="F50" s="48">
        <f>SUM(F52,F60,F71)</f>
        <v>0.30000000000000004</v>
      </c>
      <c r="H50" s="49">
        <f>(F50*HOURS)</f>
        <v>6.250000000000001</v>
      </c>
      <c r="I50" s="49"/>
      <c r="J50" s="50">
        <f>SUM(J52,J60,J71)</f>
        <v>65</v>
      </c>
      <c r="K50" s="50"/>
      <c r="L50" s="51" t="s">
        <v>4</v>
      </c>
      <c r="M50" s="51" t="s">
        <v>4</v>
      </c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51"/>
      <c r="T50" s="12"/>
      <c r="U50" s="12"/>
      <c r="V50" s="12"/>
    </row>
    <row r="51" spans="1:24" ht="14.25" customHeight="1">
      <c r="A51" s="12"/>
      <c r="B51" s="13"/>
      <c r="C51" s="12"/>
      <c r="D51" s="14"/>
      <c r="E51" s="14"/>
      <c r="F51" s="15"/>
      <c r="G51" s="12"/>
      <c r="H51" s="16"/>
      <c r="I51" s="16"/>
      <c r="J51" s="17"/>
      <c r="K51" s="17"/>
      <c r="L51" s="18"/>
      <c r="M51" s="18"/>
      <c r="N51" s="18"/>
      <c r="O51" s="18"/>
      <c r="P51" s="18"/>
      <c r="Q51" s="18"/>
      <c r="R51" s="18"/>
      <c r="S51" s="18"/>
      <c r="T51" s="12"/>
      <c r="U51" s="12"/>
      <c r="V51" s="12"/>
      <c r="W51" s="12"/>
      <c r="X51" s="12"/>
    </row>
    <row r="52" spans="1:19" ht="12.75">
      <c r="A52" s="2" t="s">
        <v>60</v>
      </c>
      <c r="D52" s="217">
        <f>D58</f>
        <v>38452</v>
      </c>
      <c r="F52" s="20">
        <v>0.1</v>
      </c>
      <c r="H52" s="21">
        <f>(F52*HOURS)</f>
        <v>2.0833333333333335</v>
      </c>
      <c r="I52" s="21"/>
      <c r="J52" s="5">
        <f>SUM(J55:J58)</f>
        <v>21</v>
      </c>
      <c r="L52" s="76">
        <v>0</v>
      </c>
      <c r="M52" s="76">
        <f>1-(SUM(N52:R52)+L52)</f>
        <v>0.6950000000000001</v>
      </c>
      <c r="N52" s="20">
        <v>0.145</v>
      </c>
      <c r="O52" s="20">
        <v>0.02</v>
      </c>
      <c r="P52" s="20">
        <v>0.02</v>
      </c>
      <c r="Q52" s="20">
        <v>0.01</v>
      </c>
      <c r="R52" s="20">
        <v>0.11</v>
      </c>
      <c r="S52" s="22"/>
    </row>
    <row r="53" ht="6.75" customHeight="1">
      <c r="M53" s="27"/>
    </row>
    <row r="54" spans="2:19" s="39" customFormat="1" ht="12.75" customHeight="1" thickBot="1">
      <c r="B54" s="38"/>
      <c r="D54" s="88"/>
      <c r="E54" s="88"/>
      <c r="F54" s="85" t="s">
        <v>45</v>
      </c>
      <c r="G54" s="56"/>
      <c r="H54" s="55"/>
      <c r="I54" s="55"/>
      <c r="J54" s="86"/>
      <c r="K54" s="86"/>
      <c r="L54" s="91" t="s">
        <v>46</v>
      </c>
      <c r="M54" s="91"/>
      <c r="N54" s="91"/>
      <c r="O54" s="41"/>
      <c r="P54" s="41"/>
      <c r="Q54" s="41"/>
      <c r="R54" s="91"/>
      <c r="S54" s="89"/>
    </row>
    <row r="55" spans="1:19" ht="14.25" customHeight="1" thickBot="1">
      <c r="A55" s="3" t="s">
        <v>44</v>
      </c>
      <c r="B55" s="3">
        <f>B27+1</f>
        <v>11</v>
      </c>
      <c r="D55" s="215">
        <f>D20+7</f>
        <v>38431</v>
      </c>
      <c r="E55" s="19"/>
      <c r="F55" s="20">
        <v>0.22</v>
      </c>
      <c r="H55" s="21">
        <f>H52*F55</f>
        <v>0.45833333333333337</v>
      </c>
      <c r="I55" s="21"/>
      <c r="J55" s="5">
        <f>VLOOKUP(H55,TABLE,2,TRUE)</f>
        <v>5</v>
      </c>
      <c r="L55" s="79">
        <f>(H55*L52)</f>
        <v>0</v>
      </c>
      <c r="M55" s="79">
        <f>(H55*M52)</f>
        <v>0.3185416666666667</v>
      </c>
      <c r="N55" s="79">
        <f>(H55*N52)</f>
        <v>0.06645833333333333</v>
      </c>
      <c r="O55" s="79">
        <f>(H55*O52)</f>
        <v>0.009166666666666668</v>
      </c>
      <c r="P55" s="79">
        <f>(H55*P52)</f>
        <v>0.009166666666666668</v>
      </c>
      <c r="Q55" s="79">
        <f>(H55*Q52)</f>
        <v>0.004583333333333334</v>
      </c>
      <c r="R55" s="79">
        <f>(H55*R52)</f>
        <v>0.05041666666666667</v>
      </c>
      <c r="S55"/>
    </row>
    <row r="56" spans="1:19" ht="14.25" customHeight="1">
      <c r="A56" s="3" t="s">
        <v>44</v>
      </c>
      <c r="B56" s="3">
        <f>B55+1</f>
        <v>12</v>
      </c>
      <c r="D56" s="216">
        <f>D55+7</f>
        <v>38438</v>
      </c>
      <c r="E56" s="19"/>
      <c r="F56" s="20">
        <v>0.27</v>
      </c>
      <c r="H56" s="21">
        <f>H52*F56</f>
        <v>0.5625000000000001</v>
      </c>
      <c r="I56" s="21"/>
      <c r="J56" s="5">
        <f>VLOOKUP(H56,TABLE,2,TRUE)</f>
        <v>6</v>
      </c>
      <c r="L56" s="79">
        <f>(H56*L52)</f>
        <v>0</v>
      </c>
      <c r="M56" s="79">
        <f>(H56*M52)</f>
        <v>0.3909375000000001</v>
      </c>
      <c r="N56" s="79">
        <f>(H56*N52)</f>
        <v>0.08156250000000001</v>
      </c>
      <c r="O56" s="79">
        <f>(H56*O52)</f>
        <v>0.011250000000000003</v>
      </c>
      <c r="P56" s="79">
        <f>(H56*P52)</f>
        <v>0.011250000000000003</v>
      </c>
      <c r="Q56" s="79">
        <f>(H56*Q52)</f>
        <v>0.0056250000000000015</v>
      </c>
      <c r="R56" s="79">
        <f>(H56*R52)</f>
        <v>0.06187500000000001</v>
      </c>
      <c r="S56" s="24"/>
    </row>
    <row r="57" spans="1:19" ht="14.25" customHeight="1">
      <c r="A57" s="3" t="s">
        <v>44</v>
      </c>
      <c r="B57" s="3">
        <f>B56+1</f>
        <v>13</v>
      </c>
      <c r="D57" s="216">
        <f>D56+7</f>
        <v>38445</v>
      </c>
      <c r="E57" s="19"/>
      <c r="F57" s="20">
        <v>0.33</v>
      </c>
      <c r="H57" s="21">
        <f>H52*F57</f>
        <v>0.6875000000000001</v>
      </c>
      <c r="I57" s="21"/>
      <c r="J57" s="5">
        <f>VLOOKUP(H57,TABLE,2,TRUE)</f>
        <v>6</v>
      </c>
      <c r="L57" s="79">
        <f>(H57*L52)</f>
        <v>0</v>
      </c>
      <c r="M57" s="79">
        <f>(H57*M52)</f>
        <v>0.47781250000000014</v>
      </c>
      <c r="N57" s="79">
        <f>(H57*N52)</f>
        <v>0.09968750000000001</v>
      </c>
      <c r="O57" s="79">
        <f>(H57*O52)</f>
        <v>0.013750000000000002</v>
      </c>
      <c r="P57" s="79">
        <f>(H57*P52)</f>
        <v>0.013750000000000002</v>
      </c>
      <c r="Q57" s="79">
        <f>(H57*Q52)</f>
        <v>0.006875000000000001</v>
      </c>
      <c r="R57" s="79">
        <f>(H57*R52)</f>
        <v>0.07562500000000001</v>
      </c>
      <c r="S57" s="24"/>
    </row>
    <row r="58" spans="1:19" ht="14.25" customHeight="1">
      <c r="A58" s="3" t="s">
        <v>44</v>
      </c>
      <c r="B58" s="3">
        <f>B57+1</f>
        <v>14</v>
      </c>
      <c r="D58" s="216">
        <f>D57+7</f>
        <v>38452</v>
      </c>
      <c r="E58" s="19"/>
      <c r="F58" s="20">
        <f>1-SUM(F55:F57)</f>
        <v>0.17999999999999994</v>
      </c>
      <c r="H58" s="21">
        <f>H52*F58</f>
        <v>0.3749999999999999</v>
      </c>
      <c r="I58" s="21"/>
      <c r="J58" s="5">
        <f>VLOOKUP(H58,TABLE,2,TRUE)</f>
        <v>4</v>
      </c>
      <c r="L58" s="79">
        <f>(H58*L52)</f>
        <v>0</v>
      </c>
      <c r="M58" s="79">
        <f>(H58*M52)</f>
        <v>0.26062499999999994</v>
      </c>
      <c r="N58" s="79">
        <f>(H58*N52)</f>
        <v>0.05437499999999998</v>
      </c>
      <c r="O58" s="79">
        <f>(H58*O52)</f>
        <v>0.007499999999999998</v>
      </c>
      <c r="P58" s="79">
        <f>(H58*P52)</f>
        <v>0.007499999999999998</v>
      </c>
      <c r="Q58" s="79">
        <f>(H58*Q52)</f>
        <v>0.003749999999999999</v>
      </c>
      <c r="R58" s="79">
        <f>(H58*R52)</f>
        <v>0.04124999999999999</v>
      </c>
      <c r="S58" s="24"/>
    </row>
    <row r="59" spans="2:24" ht="14.25" customHeight="1">
      <c r="B59" s="9"/>
      <c r="C59" s="8"/>
      <c r="D59" s="10"/>
      <c r="E59" s="10"/>
      <c r="F59" s="11"/>
      <c r="G59" s="8"/>
      <c r="H59" s="9"/>
      <c r="I59" s="9"/>
      <c r="J59" s="11"/>
      <c r="K59" s="11"/>
      <c r="L59" s="79"/>
      <c r="M59" s="79"/>
      <c r="N59" s="79"/>
      <c r="O59" s="79"/>
      <c r="P59" s="79"/>
      <c r="Q59" s="79"/>
      <c r="R59" s="79"/>
      <c r="S59" s="8"/>
      <c r="T59" s="8"/>
      <c r="U59" s="8"/>
      <c r="V59" s="8"/>
      <c r="W59" s="8"/>
      <c r="X59" s="8"/>
    </row>
    <row r="60" spans="1:19" ht="12.75">
      <c r="A60" s="2" t="s">
        <v>61</v>
      </c>
      <c r="D60" s="217">
        <f>D66</f>
        <v>38480</v>
      </c>
      <c r="F60" s="20">
        <v>0.11</v>
      </c>
      <c r="H60" s="21">
        <f>(F60*HOURS)</f>
        <v>2.2916666666666665</v>
      </c>
      <c r="I60" s="21"/>
      <c r="J60" s="5">
        <f>SUM(J63:J66)</f>
        <v>23</v>
      </c>
      <c r="L60" s="76">
        <v>0.02</v>
      </c>
      <c r="M60" s="76">
        <f>1-(SUM(N60:R60)+L60)</f>
        <v>0.62</v>
      </c>
      <c r="N60" s="20">
        <v>0.175</v>
      </c>
      <c r="O60" s="20">
        <v>0.02</v>
      </c>
      <c r="P60" s="20">
        <v>0.015</v>
      </c>
      <c r="Q60" s="20">
        <v>0.01</v>
      </c>
      <c r="R60" s="20">
        <v>0.14</v>
      </c>
      <c r="S60" s="22"/>
    </row>
    <row r="61" ht="6.75" customHeight="1">
      <c r="M61" s="27"/>
    </row>
    <row r="62" spans="2:19" s="39" customFormat="1" ht="12.75" customHeight="1">
      <c r="B62" s="38"/>
      <c r="D62" s="88"/>
      <c r="E62" s="88"/>
      <c r="F62" s="85" t="s">
        <v>45</v>
      </c>
      <c r="G62" s="56"/>
      <c r="H62" s="55"/>
      <c r="I62" s="55"/>
      <c r="J62" s="86"/>
      <c r="K62" s="86"/>
      <c r="L62" s="91" t="s">
        <v>46</v>
      </c>
      <c r="M62" s="91"/>
      <c r="N62" s="91"/>
      <c r="O62" s="41"/>
      <c r="P62" s="41"/>
      <c r="Q62" s="41"/>
      <c r="R62" s="91"/>
      <c r="S62" s="89"/>
    </row>
    <row r="63" spans="1:19" ht="14.25" customHeight="1">
      <c r="A63" s="26" t="s">
        <v>44</v>
      </c>
      <c r="B63" s="26">
        <f>B58+1</f>
        <v>15</v>
      </c>
      <c r="C63" s="25"/>
      <c r="D63" s="216">
        <f>D58+7</f>
        <v>38459</v>
      </c>
      <c r="E63" s="75"/>
      <c r="F63" s="20">
        <v>0.22</v>
      </c>
      <c r="G63" s="25"/>
      <c r="H63" s="77">
        <f>H60*F63</f>
        <v>0.5041666666666667</v>
      </c>
      <c r="I63" s="77"/>
      <c r="J63" s="27">
        <f>VLOOKUP(H63,TABLE,2,TRUE)</f>
        <v>6</v>
      </c>
      <c r="K63" s="27"/>
      <c r="L63" s="79">
        <f>(H63*L60)</f>
        <v>0.010083333333333333</v>
      </c>
      <c r="M63" s="79">
        <f>(H63*M60)</f>
        <v>0.3125833333333333</v>
      </c>
      <c r="N63" s="79">
        <f>(H63*N60)</f>
        <v>0.08822916666666666</v>
      </c>
      <c r="O63" s="79">
        <f>(H63*O60)</f>
        <v>0.010083333333333333</v>
      </c>
      <c r="P63" s="79">
        <f>(H63*P60)</f>
        <v>0.0075625</v>
      </c>
      <c r="Q63" s="79">
        <f>(H63*Q60)</f>
        <v>0.0050416666666666665</v>
      </c>
      <c r="R63" s="79">
        <f>(H63*R60)</f>
        <v>0.07058333333333333</v>
      </c>
      <c r="S63" s="24"/>
    </row>
    <row r="64" spans="1:19" ht="14.25" customHeight="1">
      <c r="A64" s="26" t="s">
        <v>44</v>
      </c>
      <c r="B64" s="3">
        <f>B63+1</f>
        <v>16</v>
      </c>
      <c r="D64" s="216">
        <f>D63+7</f>
        <v>38466</v>
      </c>
      <c r="E64" s="75"/>
      <c r="F64" s="20">
        <v>0.27</v>
      </c>
      <c r="G64" s="25"/>
      <c r="H64" s="77">
        <f>H60*F64</f>
        <v>0.61875</v>
      </c>
      <c r="I64" s="77"/>
      <c r="J64" s="27">
        <f>VLOOKUP(H64,TABLE,2,TRUE)</f>
        <v>6</v>
      </c>
      <c r="K64" s="27"/>
      <c r="L64" s="79">
        <f>(H64*L60)</f>
        <v>0.012375</v>
      </c>
      <c r="M64" s="79">
        <f>(H64*M60)</f>
        <v>0.383625</v>
      </c>
      <c r="N64" s="79">
        <f>(H64*N60)</f>
        <v>0.10828125</v>
      </c>
      <c r="O64" s="79">
        <f>(H64*O60)</f>
        <v>0.012375</v>
      </c>
      <c r="P64" s="79">
        <f>(H64*P60)</f>
        <v>0.00928125</v>
      </c>
      <c r="Q64" s="79">
        <f>(H64*Q60)</f>
        <v>0.0061875</v>
      </c>
      <c r="R64" s="79">
        <f>(H64*R60)</f>
        <v>0.08662500000000001</v>
      </c>
      <c r="S64" s="24"/>
    </row>
    <row r="65" spans="1:19" ht="14.25" customHeight="1">
      <c r="A65" s="26" t="s">
        <v>44</v>
      </c>
      <c r="B65" s="3">
        <f>B64+1</f>
        <v>17</v>
      </c>
      <c r="D65" s="216">
        <f>D64+7</f>
        <v>38473</v>
      </c>
      <c r="E65" s="75"/>
      <c r="F65" s="20">
        <v>0.33</v>
      </c>
      <c r="G65" s="25"/>
      <c r="H65" s="77">
        <f>H60*F65</f>
        <v>0.75625</v>
      </c>
      <c r="I65" s="77"/>
      <c r="J65" s="27">
        <f>VLOOKUP(H65,TABLE,2,TRUE)</f>
        <v>6</v>
      </c>
      <c r="K65" s="27"/>
      <c r="L65" s="79">
        <f>(H65*L60)</f>
        <v>0.015125</v>
      </c>
      <c r="M65" s="79">
        <f>(H65*M60)</f>
        <v>0.468875</v>
      </c>
      <c r="N65" s="79">
        <f>(H65*N60)</f>
        <v>0.13234374999999998</v>
      </c>
      <c r="O65" s="79">
        <f>(H65*O60)</f>
        <v>0.015125</v>
      </c>
      <c r="P65" s="79">
        <f>(H65*P60)</f>
        <v>0.01134375</v>
      </c>
      <c r="Q65" s="79">
        <f>(H65*Q60)</f>
        <v>0.0075625</v>
      </c>
      <c r="R65" s="79">
        <f>(H65*R60)</f>
        <v>0.10587500000000001</v>
      </c>
      <c r="S65" s="24"/>
    </row>
    <row r="66" spans="1:19" ht="14.25" customHeight="1">
      <c r="A66" s="26" t="s">
        <v>44</v>
      </c>
      <c r="B66" s="3">
        <f>B65+1</f>
        <v>18</v>
      </c>
      <c r="D66" s="216">
        <f>D65+7</f>
        <v>38480</v>
      </c>
      <c r="E66" s="75"/>
      <c r="F66" s="20">
        <f>1-SUM(F63:F65)</f>
        <v>0.17999999999999994</v>
      </c>
      <c r="G66" s="25"/>
      <c r="H66" s="77">
        <f>H60*F66</f>
        <v>0.4124999999999998</v>
      </c>
      <c r="I66" s="77"/>
      <c r="J66" s="27">
        <f>VLOOKUP(H66,TABLE,2,TRUE)</f>
        <v>5</v>
      </c>
      <c r="K66" s="27"/>
      <c r="L66" s="79">
        <f>(H66*L60)</f>
        <v>0.008249999999999997</v>
      </c>
      <c r="M66" s="79">
        <f>(H66*M60)</f>
        <v>0.25574999999999987</v>
      </c>
      <c r="N66" s="79">
        <f>(H66*N60)</f>
        <v>0.07218749999999996</v>
      </c>
      <c r="O66" s="79">
        <f>(H66*O60)</f>
        <v>0.008249999999999997</v>
      </c>
      <c r="P66" s="79">
        <f>(H66*P60)</f>
        <v>0.006187499999999997</v>
      </c>
      <c r="Q66" s="79">
        <f>(H66*Q60)</f>
        <v>0.0041249999999999985</v>
      </c>
      <c r="R66" s="79">
        <f>(H66*R60)</f>
        <v>0.05774999999999998</v>
      </c>
      <c r="S66" s="24"/>
    </row>
    <row r="67" ht="12.75">
      <c r="T67" s="52"/>
    </row>
    <row r="69" spans="1:22" s="45" customFormat="1" ht="12.75">
      <c r="A69" s="45" t="s">
        <v>85</v>
      </c>
      <c r="B69" s="46"/>
      <c r="D69" s="225">
        <f>D77</f>
        <v>38508</v>
      </c>
      <c r="E69" s="47"/>
      <c r="F69" s="48">
        <f>SUM(F71)</f>
        <v>0.09</v>
      </c>
      <c r="H69" s="49">
        <f>(F69*HOURS)</f>
        <v>1.8749999999999998</v>
      </c>
      <c r="I69" s="49"/>
      <c r="J69" s="50">
        <f>SUM(J71)</f>
        <v>21</v>
      </c>
      <c r="K69" s="50"/>
      <c r="L69" s="51" t="s">
        <v>4</v>
      </c>
      <c r="M69" s="51" t="s">
        <v>4</v>
      </c>
      <c r="N69" s="51" t="s">
        <v>4</v>
      </c>
      <c r="O69" s="51" t="s">
        <v>4</v>
      </c>
      <c r="P69" s="51" t="s">
        <v>4</v>
      </c>
      <c r="Q69" s="51" t="s">
        <v>4</v>
      </c>
      <c r="R69" s="51" t="s">
        <v>4</v>
      </c>
      <c r="S69" s="51"/>
      <c r="T69" s="12"/>
      <c r="U69" s="12"/>
      <c r="V69" s="12"/>
    </row>
    <row r="70" spans="1:24" ht="14.25" customHeight="1">
      <c r="A70" s="8"/>
      <c r="B70" s="9"/>
      <c r="C70" s="8"/>
      <c r="D70" s="10"/>
      <c r="E70" s="10"/>
      <c r="F70" s="11"/>
      <c r="G70" s="8"/>
      <c r="H70" s="9"/>
      <c r="I70" s="9"/>
      <c r="J70" s="11"/>
      <c r="K70" s="11"/>
      <c r="L70" s="11"/>
      <c r="M70" s="11"/>
      <c r="N70" s="11"/>
      <c r="O70" s="11"/>
      <c r="P70" s="11"/>
      <c r="Q70" s="11"/>
      <c r="R70" s="11"/>
      <c r="S70" s="8"/>
      <c r="U70" s="8"/>
      <c r="V70" s="8"/>
      <c r="W70" s="8"/>
      <c r="X70" s="8"/>
    </row>
    <row r="71" spans="1:19" ht="12.75">
      <c r="A71" s="2" t="s">
        <v>62</v>
      </c>
      <c r="D71" s="217">
        <f>D77</f>
        <v>38508</v>
      </c>
      <c r="F71" s="20">
        <v>0.09</v>
      </c>
      <c r="H71" s="21">
        <f>(F71*HOURS)</f>
        <v>1.8749999999999998</v>
      </c>
      <c r="I71" s="21"/>
      <c r="J71" s="5">
        <f>SUM(J74:J77)</f>
        <v>21</v>
      </c>
      <c r="L71" s="76">
        <v>0</v>
      </c>
      <c r="M71" s="76">
        <f>1-(SUM(N71:R71)+L71)</f>
        <v>0.57</v>
      </c>
      <c r="N71" s="20">
        <v>0.205</v>
      </c>
      <c r="O71" s="20">
        <v>0.04</v>
      </c>
      <c r="P71" s="20">
        <v>0.005</v>
      </c>
      <c r="Q71" s="20">
        <v>0.01</v>
      </c>
      <c r="R71" s="20">
        <v>0.17</v>
      </c>
      <c r="S71" s="22"/>
    </row>
    <row r="72" ht="6.75" customHeight="1">
      <c r="M72" s="27"/>
    </row>
    <row r="73" spans="2:20" s="39" customFormat="1" ht="12.75" customHeight="1" thickBot="1">
      <c r="B73" s="38"/>
      <c r="D73" s="88"/>
      <c r="E73" s="88"/>
      <c r="F73" s="85" t="s">
        <v>45</v>
      </c>
      <c r="G73" s="56"/>
      <c r="H73" s="55"/>
      <c r="I73" s="55"/>
      <c r="J73" s="86"/>
      <c r="K73" s="86"/>
      <c r="L73" s="91" t="s">
        <v>46</v>
      </c>
      <c r="M73" s="91"/>
      <c r="N73" s="91"/>
      <c r="O73" s="41"/>
      <c r="P73" s="41"/>
      <c r="Q73" s="41"/>
      <c r="R73" s="91"/>
      <c r="S73" s="89"/>
      <c r="T73" s="2"/>
    </row>
    <row r="74" spans="1:19" ht="14.25" customHeight="1" thickBot="1">
      <c r="A74" s="3" t="s">
        <v>44</v>
      </c>
      <c r="B74" s="3">
        <f>B66+1</f>
        <v>19</v>
      </c>
      <c r="D74" s="215">
        <f>D60+7</f>
        <v>38487</v>
      </c>
      <c r="E74" s="19"/>
      <c r="F74" s="20">
        <v>0.22</v>
      </c>
      <c r="H74" s="21">
        <f>H71*F74</f>
        <v>0.4125</v>
      </c>
      <c r="I74" s="21"/>
      <c r="J74" s="5">
        <f>VLOOKUP(H74,TABLE,2,TRUE)</f>
        <v>5</v>
      </c>
      <c r="L74" s="79">
        <f>(H74*L71)</f>
        <v>0</v>
      </c>
      <c r="M74" s="79">
        <f>(H74*M71)</f>
        <v>0.23512499999999997</v>
      </c>
      <c r="N74" s="79">
        <f>(H74*N71)</f>
        <v>0.08456249999999998</v>
      </c>
      <c r="O74" s="79">
        <f>(H74*O71)</f>
        <v>0.0165</v>
      </c>
      <c r="P74" s="79">
        <f>(H74*P71)</f>
        <v>0.0020625</v>
      </c>
      <c r="Q74" s="79">
        <f>(H74*Q71)</f>
        <v>0.004125</v>
      </c>
      <c r="R74" s="79">
        <f>(H74*R71)</f>
        <v>0.070125</v>
      </c>
      <c r="S74" s="24"/>
    </row>
    <row r="75" spans="1:19" ht="14.25" customHeight="1">
      <c r="A75" s="3" t="s">
        <v>44</v>
      </c>
      <c r="B75" s="3">
        <f>B74+1</f>
        <v>20</v>
      </c>
      <c r="D75" s="216">
        <f>D74+7</f>
        <v>38494</v>
      </c>
      <c r="E75" s="19"/>
      <c r="F75" s="20">
        <v>0.27</v>
      </c>
      <c r="H75" s="21">
        <f>H71*F75</f>
        <v>0.50625</v>
      </c>
      <c r="I75" s="21"/>
      <c r="J75" s="5">
        <f>VLOOKUP(H75,TABLE,2,TRUE)</f>
        <v>6</v>
      </c>
      <c r="L75" s="79">
        <f>(H75*L71)</f>
        <v>0</v>
      </c>
      <c r="M75" s="79">
        <f>(H75*M71)</f>
        <v>0.28856249999999994</v>
      </c>
      <c r="N75" s="79">
        <f>(H75*N71)</f>
        <v>0.10378124999999999</v>
      </c>
      <c r="O75" s="79">
        <f>(H75*O71)</f>
        <v>0.02025</v>
      </c>
      <c r="P75" s="79">
        <f>(H75*P71)</f>
        <v>0.00253125</v>
      </c>
      <c r="Q75" s="79">
        <f>(H75*Q71)</f>
        <v>0.0050625</v>
      </c>
      <c r="R75" s="79">
        <f>(H75*R71)</f>
        <v>0.0860625</v>
      </c>
      <c r="S75" s="24"/>
    </row>
    <row r="76" spans="1:19" ht="14.25" customHeight="1">
      <c r="A76" s="3" t="s">
        <v>44</v>
      </c>
      <c r="B76" s="3">
        <f>B75+1</f>
        <v>21</v>
      </c>
      <c r="D76" s="216">
        <f>D75+7</f>
        <v>38501</v>
      </c>
      <c r="E76" s="19"/>
      <c r="F76" s="20">
        <v>0.33</v>
      </c>
      <c r="H76" s="21">
        <f>H71*F76</f>
        <v>0.6187499999999999</v>
      </c>
      <c r="I76" s="21"/>
      <c r="J76" s="5">
        <f>VLOOKUP(H76,TABLE,2,TRUE)</f>
        <v>6</v>
      </c>
      <c r="L76" s="79">
        <f>(H76*L71)</f>
        <v>0</v>
      </c>
      <c r="M76" s="79">
        <f>(H76*M71)</f>
        <v>0.35268749999999993</v>
      </c>
      <c r="N76" s="79">
        <f>(H76*N71)</f>
        <v>0.12684374999999998</v>
      </c>
      <c r="O76" s="79">
        <f>(H76*O71)</f>
        <v>0.024749999999999998</v>
      </c>
      <c r="P76" s="79">
        <f>(H76*P71)</f>
        <v>0.0030937499999999997</v>
      </c>
      <c r="Q76" s="79">
        <f>(H76*Q71)</f>
        <v>0.006187499999999999</v>
      </c>
      <c r="R76" s="79">
        <f>(H76*R71)</f>
        <v>0.10518749999999999</v>
      </c>
      <c r="S76" s="24"/>
    </row>
    <row r="77" spans="1:19" ht="14.25" customHeight="1">
      <c r="A77" s="3" t="s">
        <v>44</v>
      </c>
      <c r="B77" s="3">
        <f>B76+1</f>
        <v>22</v>
      </c>
      <c r="D77" s="216">
        <f>D76+7</f>
        <v>38508</v>
      </c>
      <c r="E77" s="19"/>
      <c r="F77" s="20">
        <f>1-SUM(F74:F76)</f>
        <v>0.17999999999999994</v>
      </c>
      <c r="H77" s="21">
        <f>H71*F77</f>
        <v>0.33749999999999986</v>
      </c>
      <c r="I77" s="21"/>
      <c r="J77" s="5">
        <f>VLOOKUP(H77,TABLE,2,TRUE)</f>
        <v>4</v>
      </c>
      <c r="L77" s="79">
        <f>(H77*L71)</f>
        <v>0</v>
      </c>
      <c r="M77" s="79">
        <f>(H77*M71)</f>
        <v>0.1923749999999999</v>
      </c>
      <c r="N77" s="79">
        <f>(H77*N71)</f>
        <v>0.06918749999999997</v>
      </c>
      <c r="O77" s="79">
        <f>(H77*O71)</f>
        <v>0.013499999999999995</v>
      </c>
      <c r="P77" s="79">
        <f>(H77*P71)</f>
        <v>0.0016874999999999993</v>
      </c>
      <c r="Q77" s="79">
        <f>(H77*Q71)</f>
        <v>0.0033749999999999987</v>
      </c>
      <c r="R77" s="79">
        <f>(H77*R71)</f>
        <v>0.05737499999999998</v>
      </c>
      <c r="S77" s="24"/>
    </row>
    <row r="78" ht="12.75">
      <c r="T78" s="52"/>
    </row>
    <row r="80" spans="1:22" s="45" customFormat="1" ht="12.75">
      <c r="A80" s="45" t="s">
        <v>81</v>
      </c>
      <c r="B80" s="46"/>
      <c r="D80" s="225">
        <f>D101</f>
        <v>38592</v>
      </c>
      <c r="E80" s="47"/>
      <c r="F80" s="48">
        <f>SUM(F82,F90,F101)</f>
        <v>0.29000000000000004</v>
      </c>
      <c r="H80" s="49">
        <f>(F80*HOURS)</f>
        <v>6.041666666666667</v>
      </c>
      <c r="I80" s="49"/>
      <c r="J80" s="50">
        <f>SUM(J82,J90,J101)</f>
        <v>63</v>
      </c>
      <c r="K80" s="50"/>
      <c r="L80" s="51" t="s">
        <v>4</v>
      </c>
      <c r="M80" s="51" t="s">
        <v>4</v>
      </c>
      <c r="N80" s="51" t="s">
        <v>4</v>
      </c>
      <c r="O80" s="51" t="s">
        <v>4</v>
      </c>
      <c r="P80" s="51" t="s">
        <v>4</v>
      </c>
      <c r="Q80" s="51" t="s">
        <v>4</v>
      </c>
      <c r="R80" s="51" t="s">
        <v>4</v>
      </c>
      <c r="S80" s="51"/>
      <c r="T80" s="12"/>
      <c r="U80" s="12"/>
      <c r="V80" s="12"/>
    </row>
    <row r="81" spans="1:24" ht="14.25" customHeight="1">
      <c r="A81" s="12"/>
      <c r="B81" s="13"/>
      <c r="C81" s="12"/>
      <c r="D81" s="14"/>
      <c r="E81" s="14"/>
      <c r="F81" s="15"/>
      <c r="G81" s="12"/>
      <c r="H81" s="16"/>
      <c r="I81" s="16"/>
      <c r="J81" s="17"/>
      <c r="K81" s="17"/>
      <c r="L81" s="18"/>
      <c r="M81" s="18"/>
      <c r="N81" s="18"/>
      <c r="O81" s="18"/>
      <c r="P81" s="18"/>
      <c r="Q81" s="18"/>
      <c r="R81" s="18"/>
      <c r="S81" s="18"/>
      <c r="T81" s="12"/>
      <c r="U81" s="12"/>
      <c r="V81" s="12"/>
      <c r="W81" s="12"/>
      <c r="X81" s="12"/>
    </row>
    <row r="82" spans="1:19" ht="12.75">
      <c r="A82" s="2" t="s">
        <v>63</v>
      </c>
      <c r="D82" s="217">
        <f>D88</f>
        <v>38536</v>
      </c>
      <c r="F82" s="20">
        <v>0.1</v>
      </c>
      <c r="H82" s="21">
        <f>(F82*HOURS)</f>
        <v>2.0833333333333335</v>
      </c>
      <c r="I82" s="21"/>
      <c r="J82" s="5">
        <f>SUM(J85:J88)</f>
        <v>21</v>
      </c>
      <c r="L82" s="76">
        <v>0</v>
      </c>
      <c r="M82" s="76">
        <f>1-(SUM(N82:R82)+L82)</f>
        <v>0.665</v>
      </c>
      <c r="N82" s="20">
        <v>0.145</v>
      </c>
      <c r="O82" s="20">
        <v>0.02</v>
      </c>
      <c r="P82" s="20">
        <v>0.02</v>
      </c>
      <c r="Q82" s="20">
        <v>0.01</v>
      </c>
      <c r="R82" s="20">
        <v>0.14</v>
      </c>
      <c r="S82" s="22"/>
    </row>
    <row r="83" ht="6.75" customHeight="1">
      <c r="M83" s="27"/>
    </row>
    <row r="84" spans="2:19" s="39" customFormat="1" ht="12.75" customHeight="1" thickBot="1">
      <c r="B84" s="38"/>
      <c r="D84" s="88"/>
      <c r="E84" s="88"/>
      <c r="F84" s="85" t="s">
        <v>45</v>
      </c>
      <c r="G84" s="56"/>
      <c r="H84" s="55"/>
      <c r="I84" s="55"/>
      <c r="J84" s="86"/>
      <c r="K84" s="86"/>
      <c r="L84" s="91" t="s">
        <v>46</v>
      </c>
      <c r="M84" s="91"/>
      <c r="N84" s="91"/>
      <c r="O84" s="41"/>
      <c r="P84" s="41"/>
      <c r="Q84" s="41"/>
      <c r="R84" s="91"/>
      <c r="S84" s="89"/>
    </row>
    <row r="85" spans="1:19" ht="14.25" customHeight="1" thickBot="1">
      <c r="A85" s="3" t="s">
        <v>44</v>
      </c>
      <c r="B85" s="3">
        <f>B77+1</f>
        <v>23</v>
      </c>
      <c r="D85" s="215">
        <f>D71+7</f>
        <v>38515</v>
      </c>
      <c r="E85" s="19"/>
      <c r="F85" s="20">
        <v>0.22</v>
      </c>
      <c r="H85" s="21">
        <f>H82*F85</f>
        <v>0.45833333333333337</v>
      </c>
      <c r="I85" s="21"/>
      <c r="J85" s="5">
        <f>VLOOKUP(H85,TABLE,2,TRUE)</f>
        <v>5</v>
      </c>
      <c r="L85" s="79">
        <f>(H85*L82)</f>
        <v>0</v>
      </c>
      <c r="M85" s="79">
        <f>(H85*M82)</f>
        <v>0.3047916666666667</v>
      </c>
      <c r="N85" s="79">
        <f>(H85*N82)</f>
        <v>0.06645833333333333</v>
      </c>
      <c r="O85" s="79">
        <f>(H85*O82)</f>
        <v>0.009166666666666668</v>
      </c>
      <c r="P85" s="79">
        <f>(H85*P82)</f>
        <v>0.009166666666666668</v>
      </c>
      <c r="Q85" s="79">
        <f>(H85*Q82)</f>
        <v>0.004583333333333334</v>
      </c>
      <c r="R85" s="79">
        <f>(H85*R82)</f>
        <v>0.06416666666666668</v>
      </c>
      <c r="S85"/>
    </row>
    <row r="86" spans="1:19" ht="14.25" customHeight="1">
      <c r="A86" s="3" t="s">
        <v>44</v>
      </c>
      <c r="B86" s="3">
        <f>B85+1</f>
        <v>24</v>
      </c>
      <c r="D86" s="216">
        <f>D85+7</f>
        <v>38522</v>
      </c>
      <c r="E86" s="19"/>
      <c r="F86" s="20">
        <v>0.27</v>
      </c>
      <c r="H86" s="21">
        <f>H82*F86</f>
        <v>0.5625000000000001</v>
      </c>
      <c r="I86" s="21"/>
      <c r="J86" s="5">
        <f>VLOOKUP(H86,TABLE,2,TRUE)</f>
        <v>6</v>
      </c>
      <c r="L86" s="79">
        <f>(H86*L82)</f>
        <v>0</v>
      </c>
      <c r="M86" s="79">
        <f>(H86*M82)</f>
        <v>0.3740625000000001</v>
      </c>
      <c r="N86" s="79">
        <f>(H86*N82)</f>
        <v>0.08156250000000001</v>
      </c>
      <c r="O86" s="79">
        <f>(H86*O82)</f>
        <v>0.011250000000000003</v>
      </c>
      <c r="P86" s="79">
        <f>(H86*P82)</f>
        <v>0.011250000000000003</v>
      </c>
      <c r="Q86" s="79">
        <f>(H86*Q82)</f>
        <v>0.0056250000000000015</v>
      </c>
      <c r="R86" s="79">
        <f>(H86*R82)</f>
        <v>0.07875000000000003</v>
      </c>
      <c r="S86" s="24"/>
    </row>
    <row r="87" spans="1:19" ht="14.25" customHeight="1">
      <c r="A87" s="3" t="s">
        <v>44</v>
      </c>
      <c r="B87" s="3">
        <f>B86+1</f>
        <v>25</v>
      </c>
      <c r="D87" s="216">
        <f>D86+7</f>
        <v>38529</v>
      </c>
      <c r="E87" s="19"/>
      <c r="F87" s="20">
        <v>0.33</v>
      </c>
      <c r="H87" s="21">
        <f>H82*F87</f>
        <v>0.6875000000000001</v>
      </c>
      <c r="I87" s="21"/>
      <c r="J87" s="5">
        <f>VLOOKUP(H87,TABLE,2,TRUE)</f>
        <v>6</v>
      </c>
      <c r="L87" s="79">
        <f>(H87*L82)</f>
        <v>0</v>
      </c>
      <c r="M87" s="79">
        <f>(H87*M82)</f>
        <v>0.4571875000000001</v>
      </c>
      <c r="N87" s="79">
        <f>(H87*N82)</f>
        <v>0.09968750000000001</v>
      </c>
      <c r="O87" s="79">
        <f>(H87*O82)</f>
        <v>0.013750000000000002</v>
      </c>
      <c r="P87" s="79">
        <f>(H87*P82)</f>
        <v>0.013750000000000002</v>
      </c>
      <c r="Q87" s="79">
        <f>(H87*Q82)</f>
        <v>0.006875000000000001</v>
      </c>
      <c r="R87" s="79">
        <f>(H87*R82)</f>
        <v>0.09625000000000003</v>
      </c>
      <c r="S87" s="24"/>
    </row>
    <row r="88" spans="1:19" ht="14.25" customHeight="1">
      <c r="A88" s="3" t="s">
        <v>44</v>
      </c>
      <c r="B88" s="3">
        <f>B87+1</f>
        <v>26</v>
      </c>
      <c r="D88" s="216">
        <f>D87+7</f>
        <v>38536</v>
      </c>
      <c r="E88" s="19"/>
      <c r="F88" s="20">
        <f>1-SUM(F85:F87)</f>
        <v>0.17999999999999994</v>
      </c>
      <c r="H88" s="21">
        <f>H82*F88</f>
        <v>0.3749999999999999</v>
      </c>
      <c r="I88" s="21"/>
      <c r="J88" s="5">
        <f>VLOOKUP(H88,TABLE,2,TRUE)</f>
        <v>4</v>
      </c>
      <c r="L88" s="79">
        <f>(H88*L82)</f>
        <v>0</v>
      </c>
      <c r="M88" s="79">
        <f>(H88*M82)</f>
        <v>0.24937499999999993</v>
      </c>
      <c r="N88" s="79">
        <f>(H88*N82)</f>
        <v>0.05437499999999998</v>
      </c>
      <c r="O88" s="79">
        <f>(H88*O82)</f>
        <v>0.007499999999999998</v>
      </c>
      <c r="P88" s="79">
        <f>(H88*P82)</f>
        <v>0.007499999999999998</v>
      </c>
      <c r="Q88" s="79">
        <f>(H88*Q82)</f>
        <v>0.003749999999999999</v>
      </c>
      <c r="R88" s="79">
        <f>(H88*R82)</f>
        <v>0.05249999999999999</v>
      </c>
      <c r="S88" s="24"/>
    </row>
    <row r="89" spans="1:24" ht="14.25" customHeight="1">
      <c r="A89" s="8"/>
      <c r="B89" s="9"/>
      <c r="C89" s="8"/>
      <c r="D89" s="10"/>
      <c r="E89" s="10"/>
      <c r="F89" s="11"/>
      <c r="G89" s="8"/>
      <c r="H89" s="9"/>
      <c r="I89" s="9"/>
      <c r="J89" s="11"/>
      <c r="K89" s="11"/>
      <c r="L89" s="79"/>
      <c r="M89" s="79"/>
      <c r="N89" s="79"/>
      <c r="O89" s="79"/>
      <c r="P89" s="79"/>
      <c r="Q89" s="79"/>
      <c r="R89" s="79"/>
      <c r="S89" s="8"/>
      <c r="T89" s="8"/>
      <c r="U89" s="8"/>
      <c r="V89" s="8"/>
      <c r="W89" s="8"/>
      <c r="X89" s="8"/>
    </row>
    <row r="90" spans="1:19" ht="12.75">
      <c r="A90" s="2" t="s">
        <v>64</v>
      </c>
      <c r="D90" s="217">
        <f>D96</f>
        <v>38564</v>
      </c>
      <c r="F90" s="20">
        <v>0.11</v>
      </c>
      <c r="H90" s="21">
        <f>(F90*HOURS)</f>
        <v>2.2916666666666665</v>
      </c>
      <c r="I90" s="21"/>
      <c r="J90" s="5">
        <f>SUM(J93:J96)</f>
        <v>23</v>
      </c>
      <c r="L90" s="76">
        <v>0.02</v>
      </c>
      <c r="M90" s="76">
        <f>1-(SUM(N90:R90)+L90)</f>
        <v>0.59</v>
      </c>
      <c r="N90" s="20">
        <v>0.175</v>
      </c>
      <c r="O90" s="20">
        <v>0.02</v>
      </c>
      <c r="P90" s="20">
        <v>0.015</v>
      </c>
      <c r="Q90" s="20">
        <v>0.01</v>
      </c>
      <c r="R90" s="20">
        <v>0.17</v>
      </c>
      <c r="S90" s="22"/>
    </row>
    <row r="91" ht="6.75" customHeight="1">
      <c r="M91" s="27"/>
    </row>
    <row r="92" spans="2:19" s="39" customFormat="1" ht="12.75" customHeight="1">
      <c r="B92" s="38"/>
      <c r="D92" s="88"/>
      <c r="E92" s="88"/>
      <c r="F92" s="85" t="s">
        <v>45</v>
      </c>
      <c r="G92" s="56"/>
      <c r="H92" s="55"/>
      <c r="I92" s="55"/>
      <c r="J92" s="86"/>
      <c r="K92" s="86"/>
      <c r="L92" s="91" t="s">
        <v>46</v>
      </c>
      <c r="M92" s="91"/>
      <c r="N92" s="91"/>
      <c r="O92" s="41"/>
      <c r="P92" s="41"/>
      <c r="Q92" s="41"/>
      <c r="R92" s="91"/>
      <c r="S92" s="89"/>
    </row>
    <row r="93" spans="1:19" ht="14.25" customHeight="1">
      <c r="A93" s="26" t="s">
        <v>44</v>
      </c>
      <c r="B93" s="26">
        <f>B88+1</f>
        <v>27</v>
      </c>
      <c r="C93" s="25"/>
      <c r="D93" s="216">
        <f>D88+7</f>
        <v>38543</v>
      </c>
      <c r="E93" s="75"/>
      <c r="F93" s="20">
        <v>0.22</v>
      </c>
      <c r="G93" s="25"/>
      <c r="H93" s="77">
        <f>H90*F93</f>
        <v>0.5041666666666667</v>
      </c>
      <c r="I93" s="77"/>
      <c r="J93" s="27">
        <f>VLOOKUP(H93,TABLE,2,TRUE)</f>
        <v>6</v>
      </c>
      <c r="K93" s="27"/>
      <c r="L93" s="79">
        <f>(H93*L90)</f>
        <v>0.010083333333333333</v>
      </c>
      <c r="M93" s="79">
        <f>(H93*M90)</f>
        <v>0.2974583333333333</v>
      </c>
      <c r="N93" s="79">
        <f>(H93*N90)</f>
        <v>0.08822916666666666</v>
      </c>
      <c r="O93" s="79">
        <f>(H93*O90)</f>
        <v>0.010083333333333333</v>
      </c>
      <c r="P93" s="79">
        <f>(H93*P90)</f>
        <v>0.0075625</v>
      </c>
      <c r="Q93" s="79">
        <f>(H93*Q90)</f>
        <v>0.0050416666666666665</v>
      </c>
      <c r="R93" s="79">
        <f>(H93*R90)</f>
        <v>0.08570833333333333</v>
      </c>
      <c r="S93" s="24"/>
    </row>
    <row r="94" spans="1:19" ht="14.25" customHeight="1">
      <c r="A94" s="26" t="s">
        <v>44</v>
      </c>
      <c r="B94" s="3">
        <f>B93+1</f>
        <v>28</v>
      </c>
      <c r="D94" s="216">
        <f>D93+7</f>
        <v>38550</v>
      </c>
      <c r="E94" s="75"/>
      <c r="F94" s="20">
        <v>0.27</v>
      </c>
      <c r="G94" s="25"/>
      <c r="H94" s="77">
        <f>H90*F94</f>
        <v>0.61875</v>
      </c>
      <c r="I94" s="77"/>
      <c r="J94" s="27">
        <f>VLOOKUP(H94,TABLE,2,TRUE)</f>
        <v>6</v>
      </c>
      <c r="K94" s="27"/>
      <c r="L94" s="79">
        <f>(H94*L90)</f>
        <v>0.012375</v>
      </c>
      <c r="M94" s="79">
        <f>(H94*M90)</f>
        <v>0.3650625</v>
      </c>
      <c r="N94" s="79">
        <f>(H94*N90)</f>
        <v>0.10828125</v>
      </c>
      <c r="O94" s="79">
        <f>(H94*O90)</f>
        <v>0.012375</v>
      </c>
      <c r="P94" s="79">
        <f>(H94*P90)</f>
        <v>0.00928125</v>
      </c>
      <c r="Q94" s="79">
        <f>(H94*Q90)</f>
        <v>0.0061875</v>
      </c>
      <c r="R94" s="79">
        <f>(H94*R90)</f>
        <v>0.10518750000000002</v>
      </c>
      <c r="S94" s="24"/>
    </row>
    <row r="95" spans="1:19" ht="14.25" customHeight="1">
      <c r="A95" s="26" t="s">
        <v>44</v>
      </c>
      <c r="B95" s="3">
        <f>B94+1</f>
        <v>29</v>
      </c>
      <c r="D95" s="216">
        <f>D94+7</f>
        <v>38557</v>
      </c>
      <c r="E95" s="75"/>
      <c r="F95" s="20">
        <v>0.33</v>
      </c>
      <c r="G95" s="25"/>
      <c r="H95" s="77">
        <f>H90*F95</f>
        <v>0.75625</v>
      </c>
      <c r="I95" s="77"/>
      <c r="J95" s="27">
        <f>VLOOKUP(H95,TABLE,2,TRUE)</f>
        <v>6</v>
      </c>
      <c r="K95" s="27"/>
      <c r="L95" s="79">
        <f>(H95*L90)</f>
        <v>0.015125</v>
      </c>
      <c r="M95" s="79">
        <f>(H95*M90)</f>
        <v>0.44618749999999996</v>
      </c>
      <c r="N95" s="79">
        <f>(H95*N90)</f>
        <v>0.13234374999999998</v>
      </c>
      <c r="O95" s="79">
        <f>(H95*O90)</f>
        <v>0.015125</v>
      </c>
      <c r="P95" s="79">
        <f>(H95*P90)</f>
        <v>0.01134375</v>
      </c>
      <c r="Q95" s="79">
        <f>(H95*Q90)</f>
        <v>0.0075625</v>
      </c>
      <c r="R95" s="79">
        <f>(H95*R90)</f>
        <v>0.1285625</v>
      </c>
      <c r="S95" s="24"/>
    </row>
    <row r="96" spans="1:19" ht="14.25" customHeight="1">
      <c r="A96" s="26" t="s">
        <v>44</v>
      </c>
      <c r="B96" s="3">
        <f>B95+1</f>
        <v>30</v>
      </c>
      <c r="D96" s="216">
        <f>D95+7</f>
        <v>38564</v>
      </c>
      <c r="E96" s="75"/>
      <c r="F96" s="20">
        <f>1-SUM(F93:F95)</f>
        <v>0.17999999999999994</v>
      </c>
      <c r="G96" s="25"/>
      <c r="H96" s="77">
        <f>H90*F96</f>
        <v>0.4124999999999998</v>
      </c>
      <c r="I96" s="77"/>
      <c r="J96" s="27">
        <f>VLOOKUP(H96,TABLE,2,TRUE)</f>
        <v>5</v>
      </c>
      <c r="K96" s="27"/>
      <c r="L96" s="79">
        <f>(H96*L90)</f>
        <v>0.008249999999999997</v>
      </c>
      <c r="M96" s="79">
        <f>(H96*M90)</f>
        <v>0.24337499999999987</v>
      </c>
      <c r="N96" s="79">
        <f>(H96*N90)</f>
        <v>0.07218749999999996</v>
      </c>
      <c r="O96" s="79">
        <f>(H96*O90)</f>
        <v>0.008249999999999997</v>
      </c>
      <c r="P96" s="79">
        <f>(H96*P90)</f>
        <v>0.006187499999999997</v>
      </c>
      <c r="Q96" s="79">
        <f>(H96*Q90)</f>
        <v>0.0041249999999999985</v>
      </c>
      <c r="R96" s="79">
        <f>(H96*R90)</f>
        <v>0.07012499999999998</v>
      </c>
      <c r="S96" s="24"/>
    </row>
    <row r="97" ht="12.75">
      <c r="T97" s="52"/>
    </row>
    <row r="99" spans="1:22" s="45" customFormat="1" ht="12.75">
      <c r="A99" s="45" t="s">
        <v>82</v>
      </c>
      <c r="B99" s="46"/>
      <c r="D99" s="225">
        <f>D107</f>
        <v>38592</v>
      </c>
      <c r="E99" s="47"/>
      <c r="F99" s="48">
        <f>SUM(F101)</f>
        <v>0.08</v>
      </c>
      <c r="H99" s="49">
        <f>(F99*HOURS)</f>
        <v>1.6666666666666665</v>
      </c>
      <c r="I99" s="49"/>
      <c r="J99" s="50">
        <f>SUM(J101)</f>
        <v>19</v>
      </c>
      <c r="K99" s="50"/>
      <c r="L99" s="51" t="s">
        <v>4</v>
      </c>
      <c r="M99" s="51" t="s">
        <v>4</v>
      </c>
      <c r="N99" s="51" t="s">
        <v>4</v>
      </c>
      <c r="O99" s="51" t="s">
        <v>4</v>
      </c>
      <c r="P99" s="51" t="s">
        <v>4</v>
      </c>
      <c r="Q99" s="51" t="s">
        <v>4</v>
      </c>
      <c r="R99" s="51" t="s">
        <v>4</v>
      </c>
      <c r="S99" s="51"/>
      <c r="T99" s="12"/>
      <c r="U99" s="12"/>
      <c r="V99" s="12"/>
    </row>
    <row r="100" spans="1:24" ht="14.25" customHeight="1">
      <c r="A100" s="12"/>
      <c r="B100" s="13"/>
      <c r="C100" s="12"/>
      <c r="D100" s="14"/>
      <c r="E100" s="14"/>
      <c r="F100" s="15"/>
      <c r="G100" s="12"/>
      <c r="H100" s="16"/>
      <c r="I100" s="16"/>
      <c r="J100" s="17"/>
      <c r="K100" s="17"/>
      <c r="L100" s="18"/>
      <c r="M100" s="18"/>
      <c r="N100" s="18"/>
      <c r="O100" s="18"/>
      <c r="P100" s="18"/>
      <c r="Q100" s="18"/>
      <c r="R100" s="18"/>
      <c r="S100" s="18"/>
      <c r="T100" s="12"/>
      <c r="U100" s="12"/>
      <c r="V100" s="12"/>
      <c r="W100" s="12"/>
      <c r="X100" s="12"/>
    </row>
    <row r="101" spans="1:19" ht="12.75">
      <c r="A101" s="2" t="s">
        <v>65</v>
      </c>
      <c r="D101" s="217">
        <f>D107</f>
        <v>38592</v>
      </c>
      <c r="F101" s="20">
        <v>0.08</v>
      </c>
      <c r="H101" s="21">
        <f>(F101*HOURS)</f>
        <v>1.6666666666666665</v>
      </c>
      <c r="I101" s="21"/>
      <c r="J101" s="5">
        <f>SUM(J104:J107)</f>
        <v>19</v>
      </c>
      <c r="L101" s="76">
        <v>0</v>
      </c>
      <c r="M101" s="76">
        <f>1-(SUM(N101:R101)+L101)</f>
        <v>0.53</v>
      </c>
      <c r="N101" s="20">
        <v>0.185</v>
      </c>
      <c r="O101" s="20">
        <v>0.04</v>
      </c>
      <c r="P101" s="20">
        <v>0.005</v>
      </c>
      <c r="Q101" s="20">
        <v>0.01</v>
      </c>
      <c r="R101" s="20">
        <v>0.23</v>
      </c>
      <c r="S101" s="22"/>
    </row>
    <row r="102" ht="6.75" customHeight="1">
      <c r="M102" s="27"/>
    </row>
    <row r="103" spans="2:20" s="39" customFormat="1" ht="12.75" customHeight="1" thickBot="1">
      <c r="B103" s="38"/>
      <c r="D103" s="88"/>
      <c r="E103" s="88"/>
      <c r="F103" s="85" t="s">
        <v>45</v>
      </c>
      <c r="G103" s="56"/>
      <c r="H103" s="55"/>
      <c r="I103" s="55"/>
      <c r="J103" s="86"/>
      <c r="K103" s="86"/>
      <c r="L103" s="91" t="s">
        <v>46</v>
      </c>
      <c r="M103" s="91"/>
      <c r="N103" s="91"/>
      <c r="O103" s="41"/>
      <c r="P103" s="41"/>
      <c r="Q103" s="41"/>
      <c r="R103" s="91"/>
      <c r="S103" s="89"/>
      <c r="T103" s="2"/>
    </row>
    <row r="104" spans="1:20" ht="14.25" customHeight="1" thickBot="1">
      <c r="A104" s="3" t="s">
        <v>44</v>
      </c>
      <c r="B104" s="3">
        <f>B96+1</f>
        <v>31</v>
      </c>
      <c r="D104" s="215">
        <f>D90+7</f>
        <v>38571</v>
      </c>
      <c r="E104" s="19"/>
      <c r="F104" s="20">
        <v>0.22</v>
      </c>
      <c r="H104" s="21">
        <f>H101*F104</f>
        <v>0.36666666666666664</v>
      </c>
      <c r="I104" s="21"/>
      <c r="J104" s="5">
        <f>VLOOKUP(H104,TABLE,2,TRUE)</f>
        <v>4</v>
      </c>
      <c r="L104" s="79">
        <f>(H104*L101)</f>
        <v>0</v>
      </c>
      <c r="M104" s="79">
        <f>(H104*M101)</f>
        <v>0.19433333333333333</v>
      </c>
      <c r="N104" s="79">
        <f>(H104*N101)</f>
        <v>0.06783333333333333</v>
      </c>
      <c r="O104" s="79">
        <f>(H104*O101)</f>
        <v>0.014666666666666666</v>
      </c>
      <c r="P104" s="79">
        <f>(H104*P101)</f>
        <v>0.0018333333333333333</v>
      </c>
      <c r="Q104" s="79">
        <f>(H104*Q101)</f>
        <v>0.0036666666666666666</v>
      </c>
      <c r="R104" s="79">
        <f>(H104*R101)</f>
        <v>0.08433333333333333</v>
      </c>
      <c r="S104"/>
      <c r="T104" s="52"/>
    </row>
    <row r="105" spans="1:20" ht="14.25" customHeight="1">
      <c r="A105" s="3" t="s">
        <v>44</v>
      </c>
      <c r="B105" s="3">
        <f>B104+1</f>
        <v>32</v>
      </c>
      <c r="D105" s="216">
        <f>D104+7</f>
        <v>38578</v>
      </c>
      <c r="E105" s="19"/>
      <c r="F105" s="20">
        <v>0.27</v>
      </c>
      <c r="H105" s="21">
        <f>H101*F105</f>
        <v>0.45</v>
      </c>
      <c r="I105" s="21"/>
      <c r="J105" s="5">
        <f>VLOOKUP(H105,TABLE,2,TRUE)</f>
        <v>5</v>
      </c>
      <c r="L105" s="79">
        <f>(H105*L101)</f>
        <v>0</v>
      </c>
      <c r="M105" s="79">
        <f>(H105*M101)</f>
        <v>0.23850000000000002</v>
      </c>
      <c r="N105" s="79">
        <f>(H105*N101)</f>
        <v>0.08325</v>
      </c>
      <c r="O105" s="79">
        <f>(H105*O101)</f>
        <v>0.018000000000000002</v>
      </c>
      <c r="P105" s="79">
        <f>(H105*P101)</f>
        <v>0.0022500000000000003</v>
      </c>
      <c r="Q105" s="79">
        <f>(H105*Q101)</f>
        <v>0.0045000000000000005</v>
      </c>
      <c r="R105" s="79">
        <f>(H105*R101)</f>
        <v>0.10350000000000001</v>
      </c>
      <c r="S105" s="24"/>
      <c r="T105" s="52"/>
    </row>
    <row r="106" spans="1:19" ht="14.25" customHeight="1">
      <c r="A106" s="3" t="s">
        <v>44</v>
      </c>
      <c r="B106" s="3">
        <f>B105+1</f>
        <v>33</v>
      </c>
      <c r="D106" s="216">
        <f>D105+7</f>
        <v>38585</v>
      </c>
      <c r="E106" s="19"/>
      <c r="F106" s="20">
        <v>0.33</v>
      </c>
      <c r="H106" s="21">
        <f>H101*F106</f>
        <v>0.5499999999999999</v>
      </c>
      <c r="I106" s="21"/>
      <c r="J106" s="5">
        <f>VLOOKUP(H106,TABLE,2,TRUE)</f>
        <v>6</v>
      </c>
      <c r="L106" s="79">
        <f>(H106*L101)</f>
        <v>0</v>
      </c>
      <c r="M106" s="79">
        <f>(H106*M101)</f>
        <v>0.2915</v>
      </c>
      <c r="N106" s="79">
        <f>(H106*N101)</f>
        <v>0.10175</v>
      </c>
      <c r="O106" s="79">
        <f>(H106*O101)</f>
        <v>0.022</v>
      </c>
      <c r="P106" s="79">
        <f>(H106*P101)</f>
        <v>0.00275</v>
      </c>
      <c r="Q106" s="79">
        <f>(H106*Q101)</f>
        <v>0.0055</v>
      </c>
      <c r="R106" s="79">
        <f>(H106*R101)</f>
        <v>0.1265</v>
      </c>
      <c r="S106" s="24"/>
    </row>
    <row r="107" spans="1:19" ht="14.25" customHeight="1">
      <c r="A107" s="3" t="s">
        <v>44</v>
      </c>
      <c r="B107" s="3">
        <f>B106+1</f>
        <v>34</v>
      </c>
      <c r="D107" s="216">
        <f>D106+7</f>
        <v>38592</v>
      </c>
      <c r="E107" s="19"/>
      <c r="F107" s="20">
        <f>1-SUM(F104:F106)</f>
        <v>0.17999999999999994</v>
      </c>
      <c r="H107" s="21">
        <f>H101*F107</f>
        <v>0.2999999999999999</v>
      </c>
      <c r="I107" s="21"/>
      <c r="J107" s="5">
        <f>VLOOKUP(H107,TABLE,2,TRUE)</f>
        <v>4</v>
      </c>
      <c r="L107" s="79">
        <f>(H107*L101)</f>
        <v>0</v>
      </c>
      <c r="M107" s="79">
        <f>(H107*M101)</f>
        <v>0.15899999999999995</v>
      </c>
      <c r="N107" s="79">
        <f>(H107*N101)</f>
        <v>0.05549999999999998</v>
      </c>
      <c r="O107" s="79">
        <f>(H107*O101)</f>
        <v>0.011999999999999995</v>
      </c>
      <c r="P107" s="79">
        <f>(H107*P101)</f>
        <v>0.0014999999999999994</v>
      </c>
      <c r="Q107" s="79">
        <f>(H107*Q101)</f>
        <v>0.0029999999999999988</v>
      </c>
      <c r="R107" s="79">
        <f>(H107*R101)</f>
        <v>0.06899999999999998</v>
      </c>
      <c r="S107" s="24"/>
    </row>
    <row r="108" spans="1:24" ht="12.75">
      <c r="A108" s="25"/>
      <c r="B108" s="26"/>
      <c r="C108" s="25"/>
      <c r="D108" s="75"/>
      <c r="E108" s="33"/>
      <c r="F108" s="27"/>
      <c r="G108" s="25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5"/>
      <c r="T108" s="25"/>
      <c r="U108" s="25"/>
      <c r="V108" s="25"/>
      <c r="W108" s="25"/>
      <c r="X108" s="25"/>
    </row>
    <row r="109" spans="1:24" ht="12.75">
      <c r="A109" s="25"/>
      <c r="B109" s="26"/>
      <c r="C109" s="25"/>
      <c r="D109" s="33"/>
      <c r="E109" s="33"/>
      <c r="F109" s="27"/>
      <c r="G109" s="25"/>
      <c r="H109" s="26"/>
      <c r="I109" s="26"/>
      <c r="J109" s="27"/>
      <c r="K109" s="27"/>
      <c r="L109" s="27"/>
      <c r="M109" s="27"/>
      <c r="N109" s="27"/>
      <c r="O109" s="27"/>
      <c r="P109" s="27"/>
      <c r="Q109" s="27"/>
      <c r="R109" s="27"/>
      <c r="S109" s="25"/>
      <c r="T109" s="25"/>
      <c r="U109" s="25"/>
      <c r="V109" s="25"/>
      <c r="W109" s="25"/>
      <c r="X109" s="25"/>
    </row>
    <row r="110" spans="1:24" ht="18">
      <c r="A110" s="35" t="s">
        <v>68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18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ht="15.75">
      <c r="A112" s="60" t="s">
        <v>31</v>
      </c>
      <c r="B112" s="55"/>
      <c r="C112" s="56"/>
      <c r="D112" s="57" t="s">
        <v>32</v>
      </c>
      <c r="E112" s="57"/>
      <c r="F112" s="40" t="s">
        <v>33</v>
      </c>
      <c r="G112" s="41"/>
      <c r="H112" s="41"/>
      <c r="I112" s="59" t="s">
        <v>0</v>
      </c>
      <c r="J112" s="58" t="s">
        <v>34</v>
      </c>
      <c r="K112" s="58"/>
      <c r="L112" s="92" t="s">
        <v>35</v>
      </c>
      <c r="M112" s="92"/>
      <c r="N112" s="59"/>
      <c r="O112" s="59"/>
      <c r="P112" s="59"/>
      <c r="Q112" s="59"/>
      <c r="R112" s="59"/>
      <c r="S112" s="59" t="s">
        <v>0</v>
      </c>
      <c r="T112" s="60" t="s">
        <v>36</v>
      </c>
      <c r="U112" s="39"/>
      <c r="V112" s="39"/>
      <c r="W112" s="39"/>
      <c r="X112" s="39"/>
    </row>
    <row r="113" spans="1:24" ht="16.5">
      <c r="A113" s="62"/>
      <c r="B113" s="61"/>
      <c r="C113" s="62"/>
      <c r="D113" s="63"/>
      <c r="E113" s="63"/>
      <c r="F113" s="64" t="s">
        <v>39</v>
      </c>
      <c r="G113" s="62"/>
      <c r="H113" s="64" t="s">
        <v>38</v>
      </c>
      <c r="I113" s="64"/>
      <c r="J113" s="64"/>
      <c r="K113" s="64"/>
      <c r="L113" s="40" t="s">
        <v>37</v>
      </c>
      <c r="M113" s="40"/>
      <c r="N113" s="41"/>
      <c r="O113" s="41"/>
      <c r="P113" s="41"/>
      <c r="Q113" s="41"/>
      <c r="R113" s="41"/>
      <c r="S113" s="65" t="s">
        <v>0</v>
      </c>
      <c r="T113" s="62"/>
      <c r="U113" s="6"/>
      <c r="V113" s="6"/>
      <c r="W113" s="6"/>
      <c r="X113" s="6"/>
    </row>
    <row r="114" spans="1:20" ht="16.5" customHeight="1">
      <c r="A114" s="25"/>
      <c r="B114" s="26"/>
      <c r="C114" s="25"/>
      <c r="D114" s="33"/>
      <c r="E114" s="33"/>
      <c r="F114" s="27"/>
      <c r="G114" s="25"/>
      <c r="H114" s="26"/>
      <c r="I114" s="26"/>
      <c r="J114" s="27"/>
      <c r="K114" s="27"/>
      <c r="L114" s="27" t="s">
        <v>5</v>
      </c>
      <c r="M114" s="27" t="s">
        <v>1</v>
      </c>
      <c r="N114" s="27" t="s">
        <v>2</v>
      </c>
      <c r="O114" s="27" t="s">
        <v>3</v>
      </c>
      <c r="P114" s="27" t="s">
        <v>7</v>
      </c>
      <c r="Q114" s="27" t="s">
        <v>8</v>
      </c>
      <c r="R114" s="33" t="s">
        <v>40</v>
      </c>
      <c r="S114" s="25"/>
      <c r="T114" s="25"/>
    </row>
    <row r="117" spans="1:22" s="45" customFormat="1" ht="12.75">
      <c r="A117" s="45" t="s">
        <v>78</v>
      </c>
      <c r="B117" s="46"/>
      <c r="D117" s="225">
        <f>D133</f>
        <v>38655</v>
      </c>
      <c r="E117" s="47"/>
      <c r="F117" s="48">
        <f>SUM(F119,F127,F135)</f>
        <v>0.26</v>
      </c>
      <c r="H117" s="49">
        <f>(F117*HOURS)</f>
        <v>5.416666666666667</v>
      </c>
      <c r="I117" s="49"/>
      <c r="J117" s="53">
        <f>SUM(J119,J127,J135)</f>
        <v>60</v>
      </c>
      <c r="K117" s="53"/>
      <c r="L117" s="51" t="s">
        <v>4</v>
      </c>
      <c r="M117" s="51" t="s">
        <v>4</v>
      </c>
      <c r="N117" s="51" t="s">
        <v>4</v>
      </c>
      <c r="O117" s="51" t="s">
        <v>4</v>
      </c>
      <c r="P117" s="51" t="s">
        <v>4</v>
      </c>
      <c r="Q117" s="51" t="s">
        <v>4</v>
      </c>
      <c r="R117" s="51" t="s">
        <v>4</v>
      </c>
      <c r="S117" s="51"/>
      <c r="T117" s="12"/>
      <c r="U117" s="12"/>
      <c r="V117" s="12"/>
    </row>
    <row r="118" spans="1:24" ht="14.25" customHeight="1">
      <c r="A118" s="12"/>
      <c r="B118" s="13"/>
      <c r="C118" s="12"/>
      <c r="D118" s="14"/>
      <c r="E118" s="14"/>
      <c r="F118" s="15"/>
      <c r="G118" s="12"/>
      <c r="H118" s="16"/>
      <c r="I118" s="16"/>
      <c r="J118" s="17"/>
      <c r="K118" s="17"/>
      <c r="L118" s="18"/>
      <c r="M118" s="18"/>
      <c r="N118" s="18"/>
      <c r="O118" s="18"/>
      <c r="P118" s="18"/>
      <c r="Q118" s="18"/>
      <c r="R118" s="18"/>
      <c r="S118" s="18"/>
      <c r="T118" s="12"/>
      <c r="U118" s="12"/>
      <c r="V118" s="12"/>
      <c r="W118" s="12"/>
      <c r="X118" s="12"/>
    </row>
    <row r="119" spans="1:19" ht="12.75">
      <c r="A119" s="2" t="s">
        <v>66</v>
      </c>
      <c r="D119" s="217">
        <f>D125</f>
        <v>38627</v>
      </c>
      <c r="F119" s="20">
        <v>0.08</v>
      </c>
      <c r="H119" s="21">
        <f>(F119*HOURS)</f>
        <v>1.6666666666666665</v>
      </c>
      <c r="I119" s="21"/>
      <c r="J119" s="5">
        <f>SUM(J122:J125)</f>
        <v>18</v>
      </c>
      <c r="L119" s="76">
        <v>0</v>
      </c>
      <c r="M119" s="76">
        <f>1-(SUM(N119:R119)+L119)</f>
        <v>0.81</v>
      </c>
      <c r="N119" s="20">
        <v>0.18</v>
      </c>
      <c r="O119" s="20">
        <v>0</v>
      </c>
      <c r="P119" s="20">
        <v>0.01</v>
      </c>
      <c r="Q119" s="20">
        <v>0</v>
      </c>
      <c r="R119" s="20">
        <v>0</v>
      </c>
      <c r="S119" s="22"/>
    </row>
    <row r="120" ht="6.75" customHeight="1">
      <c r="M120" s="27"/>
    </row>
    <row r="121" spans="2:19" s="39" customFormat="1" ht="12.75" customHeight="1" thickBot="1">
      <c r="B121" s="38"/>
      <c r="D121" s="88"/>
      <c r="E121" s="88"/>
      <c r="F121" s="85" t="s">
        <v>45</v>
      </c>
      <c r="G121" s="56"/>
      <c r="H121" s="55"/>
      <c r="I121" s="55"/>
      <c r="J121" s="86"/>
      <c r="K121" s="86"/>
      <c r="L121" s="91" t="s">
        <v>46</v>
      </c>
      <c r="M121" s="91"/>
      <c r="N121" s="91"/>
      <c r="O121" s="41"/>
      <c r="P121" s="41"/>
      <c r="Q121" s="41"/>
      <c r="R121" s="91"/>
      <c r="S121" s="89"/>
    </row>
    <row r="122" spans="1:20" ht="14.25" customHeight="1" thickBot="1">
      <c r="A122" s="3" t="s">
        <v>44</v>
      </c>
      <c r="B122" s="3">
        <f>B107+1</f>
        <v>35</v>
      </c>
      <c r="D122" s="215">
        <f>D101+14</f>
        <v>38606</v>
      </c>
      <c r="E122" s="19"/>
      <c r="F122" s="20">
        <v>0.23</v>
      </c>
      <c r="H122" s="21">
        <f>H119*F122</f>
        <v>0.3833333333333333</v>
      </c>
      <c r="I122" s="21"/>
      <c r="J122" s="5">
        <f>VLOOKUP(H122,TABLE,2,TRUE)</f>
        <v>4</v>
      </c>
      <c r="L122" s="79">
        <f>(H122*L119)</f>
        <v>0</v>
      </c>
      <c r="M122" s="79">
        <f>(H122*M119)</f>
        <v>0.3105</v>
      </c>
      <c r="N122" s="79">
        <f>(H122*N119)</f>
        <v>0.06899999999999999</v>
      </c>
      <c r="O122" s="79">
        <f>(H122*O119)</f>
        <v>0</v>
      </c>
      <c r="P122" s="79">
        <f>(H122*P119)</f>
        <v>0.003833333333333333</v>
      </c>
      <c r="Q122" s="79">
        <f>(H122*Q119)</f>
        <v>0</v>
      </c>
      <c r="R122" s="79">
        <f>(H122*R119)</f>
        <v>0</v>
      </c>
      <c r="S122"/>
      <c r="T122" s="52"/>
    </row>
    <row r="123" spans="1:19" ht="14.25" customHeight="1">
      <c r="A123" s="3" t="s">
        <v>44</v>
      </c>
      <c r="B123" s="3">
        <f>B122+1</f>
        <v>36</v>
      </c>
      <c r="D123" s="216">
        <f>D122+7</f>
        <v>38613</v>
      </c>
      <c r="E123" s="19"/>
      <c r="F123" s="20">
        <v>0.26</v>
      </c>
      <c r="H123" s="21">
        <f>H119*F123</f>
        <v>0.4333333333333333</v>
      </c>
      <c r="I123" s="21"/>
      <c r="J123" s="5">
        <f>VLOOKUP(H123,TABLE,2,TRUE)</f>
        <v>5</v>
      </c>
      <c r="L123" s="79">
        <f>(H123*L119)</f>
        <v>0</v>
      </c>
      <c r="M123" s="79">
        <f>(H123*M119)</f>
        <v>0.351</v>
      </c>
      <c r="N123" s="79">
        <f>(H123*N119)</f>
        <v>0.07799999999999999</v>
      </c>
      <c r="O123" s="79">
        <f>(H123*O119)</f>
        <v>0</v>
      </c>
      <c r="P123" s="79">
        <f>(H123*P119)</f>
        <v>0.004333333333333333</v>
      </c>
      <c r="Q123" s="79">
        <f>(H123*Q119)</f>
        <v>0</v>
      </c>
      <c r="R123" s="79">
        <f>(H123*R119)</f>
        <v>0</v>
      </c>
      <c r="S123" s="24"/>
    </row>
    <row r="124" spans="1:19" ht="14.25" customHeight="1">
      <c r="A124" s="3" t="s">
        <v>44</v>
      </c>
      <c r="B124" s="3">
        <f>B123+1</f>
        <v>37</v>
      </c>
      <c r="D124" s="216">
        <f>D123+7</f>
        <v>38620</v>
      </c>
      <c r="E124" s="19"/>
      <c r="F124" s="20">
        <v>0.29</v>
      </c>
      <c r="H124" s="21">
        <f>H119*F124</f>
        <v>0.4833333333333333</v>
      </c>
      <c r="I124" s="21"/>
      <c r="J124" s="5">
        <f>VLOOKUP(H124,TABLE,2,TRUE)</f>
        <v>5</v>
      </c>
      <c r="L124" s="79">
        <f>(H124*L119)</f>
        <v>0</v>
      </c>
      <c r="M124" s="79">
        <f>(H124*M119)</f>
        <v>0.39149999999999996</v>
      </c>
      <c r="N124" s="79">
        <f>(H124*N119)</f>
        <v>0.087</v>
      </c>
      <c r="O124" s="79">
        <f>(H124*O119)</f>
        <v>0</v>
      </c>
      <c r="P124" s="79">
        <f>(H124*P119)</f>
        <v>0.004833333333333333</v>
      </c>
      <c r="Q124" s="79">
        <f>(H124*Q119)</f>
        <v>0</v>
      </c>
      <c r="R124" s="79">
        <f>(H124*R119)</f>
        <v>0</v>
      </c>
      <c r="S124" s="24"/>
    </row>
    <row r="125" spans="1:19" ht="14.25" customHeight="1">
      <c r="A125" s="3" t="s">
        <v>44</v>
      </c>
      <c r="B125" s="3">
        <f>B124+1</f>
        <v>38</v>
      </c>
      <c r="D125" s="216">
        <f>D124+7</f>
        <v>38627</v>
      </c>
      <c r="E125" s="19"/>
      <c r="F125" s="20">
        <f>1-SUM(F122:F124)</f>
        <v>0.21999999999999997</v>
      </c>
      <c r="H125" s="21">
        <f>H119*F125</f>
        <v>0.3666666666666666</v>
      </c>
      <c r="I125" s="21"/>
      <c r="J125" s="5">
        <f>VLOOKUP(H125,TABLE,2,TRUE)</f>
        <v>4</v>
      </c>
      <c r="L125" s="79">
        <f>(H125*L119)</f>
        <v>0</v>
      </c>
      <c r="M125" s="79">
        <f>(H125*M119)</f>
        <v>0.29699999999999993</v>
      </c>
      <c r="N125" s="79">
        <f>(H125*N119)</f>
        <v>0.06599999999999999</v>
      </c>
      <c r="O125" s="79">
        <f>(H125*O119)</f>
        <v>0</v>
      </c>
      <c r="P125" s="79">
        <f>(H125*P119)</f>
        <v>0.0036666666666666657</v>
      </c>
      <c r="Q125" s="79">
        <f>(H125*Q119)</f>
        <v>0</v>
      </c>
      <c r="R125" s="79">
        <f>(H125*R119)</f>
        <v>0</v>
      </c>
      <c r="S125" s="24"/>
    </row>
    <row r="126" spans="1:24" ht="14.25" customHeight="1">
      <c r="A126" s="8"/>
      <c r="B126" s="9"/>
      <c r="C126" s="8"/>
      <c r="D126" s="10"/>
      <c r="E126" s="10"/>
      <c r="F126" s="11"/>
      <c r="G126" s="8"/>
      <c r="H126" s="9"/>
      <c r="I126" s="9"/>
      <c r="J126" s="11"/>
      <c r="K126" s="11"/>
      <c r="L126" s="11"/>
      <c r="M126" s="11"/>
      <c r="N126" s="11"/>
      <c r="O126" s="11"/>
      <c r="P126" s="11"/>
      <c r="Q126" s="11"/>
      <c r="R126" s="11"/>
      <c r="S126" s="8"/>
      <c r="T126" s="8"/>
      <c r="U126" s="8"/>
      <c r="V126" s="8"/>
      <c r="W126" s="8"/>
      <c r="X126" s="8"/>
    </row>
    <row r="127" spans="1:19" ht="12.75">
      <c r="A127" s="2" t="s">
        <v>67</v>
      </c>
      <c r="D127" s="217">
        <f>D133</f>
        <v>38655</v>
      </c>
      <c r="F127" s="20">
        <v>0.09</v>
      </c>
      <c r="H127" s="21">
        <f>(F127*HOURS)</f>
        <v>1.8749999999999998</v>
      </c>
      <c r="I127" s="21"/>
      <c r="J127" s="5">
        <f>SUM(J130:J133)</f>
        <v>21</v>
      </c>
      <c r="L127" s="76">
        <v>0</v>
      </c>
      <c r="M127" s="76">
        <f>1-(SUM(N127:R127)+L127)</f>
        <v>0.76</v>
      </c>
      <c r="N127" s="20">
        <v>0.18</v>
      </c>
      <c r="O127" s="20">
        <v>0.04</v>
      </c>
      <c r="P127" s="20">
        <v>0.01</v>
      </c>
      <c r="Q127" s="20">
        <v>0.01</v>
      </c>
      <c r="R127" s="20">
        <v>0</v>
      </c>
      <c r="S127" s="22"/>
    </row>
    <row r="128" ht="6.75" customHeight="1">
      <c r="M128" s="27"/>
    </row>
    <row r="129" spans="2:19" s="39" customFormat="1" ht="12.75" customHeight="1">
      <c r="B129" s="38"/>
      <c r="D129" s="88"/>
      <c r="E129" s="88"/>
      <c r="F129" s="85" t="s">
        <v>45</v>
      </c>
      <c r="G129" s="56"/>
      <c r="H129" s="55"/>
      <c r="I129" s="55"/>
      <c r="J129" s="86"/>
      <c r="K129" s="86"/>
      <c r="L129" s="91" t="s">
        <v>46</v>
      </c>
      <c r="M129" s="91"/>
      <c r="N129" s="91"/>
      <c r="O129" s="41"/>
      <c r="P129" s="41"/>
      <c r="Q129" s="41"/>
      <c r="R129" s="91"/>
      <c r="S129" s="89"/>
    </row>
    <row r="130" spans="1:19" ht="14.25" customHeight="1">
      <c r="A130" s="3" t="s">
        <v>44</v>
      </c>
      <c r="B130" s="3">
        <f>B125+1</f>
        <v>39</v>
      </c>
      <c r="D130" s="216">
        <f>D125+7</f>
        <v>38634</v>
      </c>
      <c r="E130" s="19"/>
      <c r="F130" s="20">
        <v>0.23</v>
      </c>
      <c r="H130" s="21">
        <f>H127*F130</f>
        <v>0.43124999999999997</v>
      </c>
      <c r="I130" s="21"/>
      <c r="J130" s="5">
        <f>VLOOKUP(H130,TABLE,2,TRUE)</f>
        <v>5</v>
      </c>
      <c r="L130" s="79">
        <f>(H130*L127)</f>
        <v>0</v>
      </c>
      <c r="M130" s="79">
        <f>(H130*M127)</f>
        <v>0.32775</v>
      </c>
      <c r="N130" s="79">
        <f>(H130*N127)</f>
        <v>0.07762499999999999</v>
      </c>
      <c r="O130" s="79">
        <f>(H130*O127)</f>
        <v>0.017249999999999998</v>
      </c>
      <c r="P130" s="79">
        <f>(H130*P127)</f>
        <v>0.0043124999999999995</v>
      </c>
      <c r="Q130" s="79">
        <f>(H130*Q127)</f>
        <v>0.0043124999999999995</v>
      </c>
      <c r="R130" s="79">
        <f>(H130*R127)</f>
        <v>0</v>
      </c>
      <c r="S130" s="24"/>
    </row>
    <row r="131" spans="1:19" ht="14.25" customHeight="1">
      <c r="A131" s="3" t="s">
        <v>44</v>
      </c>
      <c r="B131" s="3">
        <f>B130+1</f>
        <v>40</v>
      </c>
      <c r="D131" s="216">
        <f>D130+7</f>
        <v>38641</v>
      </c>
      <c r="E131" s="19"/>
      <c r="F131" s="20">
        <v>0.26</v>
      </c>
      <c r="H131" s="21">
        <f>H127*F131</f>
        <v>0.48749999999999993</v>
      </c>
      <c r="I131" s="21"/>
      <c r="J131" s="5">
        <f>VLOOKUP(H131,TABLE,2,TRUE)</f>
        <v>5</v>
      </c>
      <c r="L131" s="79">
        <f>(H131*L127)</f>
        <v>0</v>
      </c>
      <c r="M131" s="79">
        <f>(H131*M127)</f>
        <v>0.37049999999999994</v>
      </c>
      <c r="N131" s="79">
        <f>(H131*N127)</f>
        <v>0.08774999999999998</v>
      </c>
      <c r="O131" s="79">
        <f>(H131*O127)</f>
        <v>0.019499999999999997</v>
      </c>
      <c r="P131" s="79">
        <f>(H131*P127)</f>
        <v>0.004874999999999999</v>
      </c>
      <c r="Q131" s="79">
        <f>(H131*Q127)</f>
        <v>0.004874999999999999</v>
      </c>
      <c r="R131" s="79">
        <f>(H131*R127)</f>
        <v>0</v>
      </c>
      <c r="S131" s="24"/>
    </row>
    <row r="132" spans="1:19" ht="14.25" customHeight="1">
      <c r="A132" s="3" t="s">
        <v>44</v>
      </c>
      <c r="B132" s="3">
        <f>B131+1</f>
        <v>41</v>
      </c>
      <c r="D132" s="216">
        <f>D131+7</f>
        <v>38648</v>
      </c>
      <c r="E132" s="19"/>
      <c r="F132" s="20">
        <v>0.29</v>
      </c>
      <c r="H132" s="21">
        <f>H127*F132</f>
        <v>0.5437499999999998</v>
      </c>
      <c r="I132" s="21"/>
      <c r="J132" s="5">
        <f>VLOOKUP(H132,TABLE,2,TRUE)</f>
        <v>6</v>
      </c>
      <c r="L132" s="79">
        <f>(H132*L127)</f>
        <v>0</v>
      </c>
      <c r="M132" s="79">
        <f>(H132*M127)</f>
        <v>0.4132499999999999</v>
      </c>
      <c r="N132" s="79">
        <f>(H132*N127)</f>
        <v>0.09787499999999996</v>
      </c>
      <c r="O132" s="79">
        <f>(H132*O127)</f>
        <v>0.021749999999999995</v>
      </c>
      <c r="P132" s="79">
        <f>(H132*P127)</f>
        <v>0.005437499999999999</v>
      </c>
      <c r="Q132" s="79">
        <f>(H132*Q127)</f>
        <v>0.005437499999999999</v>
      </c>
      <c r="R132" s="79">
        <f>(H132*R127)</f>
        <v>0</v>
      </c>
      <c r="S132" s="24"/>
    </row>
    <row r="133" spans="1:19" ht="14.25" customHeight="1">
      <c r="A133" s="3" t="s">
        <v>44</v>
      </c>
      <c r="B133" s="3">
        <f>B132+1</f>
        <v>42</v>
      </c>
      <c r="D133" s="216">
        <f>D132+7</f>
        <v>38655</v>
      </c>
      <c r="E133" s="19"/>
      <c r="F133" s="20">
        <f>1-SUM(F130:F132)</f>
        <v>0.21999999999999997</v>
      </c>
      <c r="H133" s="21">
        <f>H127*F133</f>
        <v>0.4124999999999999</v>
      </c>
      <c r="I133" s="21"/>
      <c r="J133" s="5">
        <f>VLOOKUP(H133,TABLE,2,TRUE)</f>
        <v>5</v>
      </c>
      <c r="L133" s="79">
        <f>(H133*L127)</f>
        <v>0</v>
      </c>
      <c r="M133" s="79">
        <f>(H133*M127)</f>
        <v>0.31349999999999995</v>
      </c>
      <c r="N133" s="79">
        <f>(H133*N127)</f>
        <v>0.07424999999999998</v>
      </c>
      <c r="O133" s="79">
        <f>(H133*O127)</f>
        <v>0.016499999999999997</v>
      </c>
      <c r="P133" s="79">
        <f>(H133*P127)</f>
        <v>0.004124999999999999</v>
      </c>
      <c r="Q133" s="79">
        <f>(H133*Q127)</f>
        <v>0.004124999999999999</v>
      </c>
      <c r="R133" s="79">
        <f>(H133*R127)</f>
        <v>0</v>
      </c>
      <c r="S133" s="24"/>
    </row>
    <row r="134" spans="1:24" ht="14.25" customHeight="1">
      <c r="A134" s="8"/>
      <c r="B134" s="9"/>
      <c r="C134" s="8"/>
      <c r="D134" s="10"/>
      <c r="E134" s="10"/>
      <c r="F134" s="11"/>
      <c r="G134" s="8"/>
      <c r="H134" s="9"/>
      <c r="I134" s="9"/>
      <c r="J134" s="11"/>
      <c r="K134" s="11"/>
      <c r="L134" s="11"/>
      <c r="M134" s="11"/>
      <c r="N134" s="11"/>
      <c r="O134" s="11"/>
      <c r="P134" s="11"/>
      <c r="Q134" s="11"/>
      <c r="R134" s="11"/>
      <c r="S134" s="8"/>
      <c r="T134" s="8"/>
      <c r="U134" s="8"/>
      <c r="V134" s="8"/>
      <c r="W134" s="8"/>
      <c r="X134" s="8"/>
    </row>
    <row r="135" spans="1:19" ht="12.75">
      <c r="A135" s="2" t="s">
        <v>83</v>
      </c>
      <c r="D135" s="217">
        <f>D141</f>
        <v>38683</v>
      </c>
      <c r="F135" s="20">
        <v>0.09</v>
      </c>
      <c r="H135" s="21">
        <f>(F135*HOURS)</f>
        <v>1.8749999999999998</v>
      </c>
      <c r="I135" s="21"/>
      <c r="J135" s="5">
        <f>SUM(J138:J141)</f>
        <v>21</v>
      </c>
      <c r="L135" s="76">
        <v>0</v>
      </c>
      <c r="M135" s="76">
        <f>1-(SUM(N135:R135)+L135)</f>
        <v>0.78</v>
      </c>
      <c r="N135" s="20">
        <v>0.12</v>
      </c>
      <c r="O135" s="20">
        <v>0.08</v>
      </c>
      <c r="P135" s="20">
        <v>0.01</v>
      </c>
      <c r="Q135" s="20">
        <v>0.01</v>
      </c>
      <c r="R135" s="20">
        <v>0</v>
      </c>
      <c r="S135" s="22"/>
    </row>
    <row r="136" ht="6.75" customHeight="1">
      <c r="M136" s="27"/>
    </row>
    <row r="137" spans="2:19" s="39" customFormat="1" ht="12.75" customHeight="1">
      <c r="B137" s="38"/>
      <c r="D137" s="88"/>
      <c r="E137" s="88"/>
      <c r="F137" s="85" t="s">
        <v>45</v>
      </c>
      <c r="G137" s="56"/>
      <c r="H137" s="55"/>
      <c r="I137" s="55"/>
      <c r="J137" s="86"/>
      <c r="K137" s="86"/>
      <c r="L137" s="91" t="s">
        <v>46</v>
      </c>
      <c r="M137" s="91"/>
      <c r="N137" s="91"/>
      <c r="O137" s="41"/>
      <c r="P137" s="41"/>
      <c r="Q137" s="41"/>
      <c r="R137" s="91"/>
      <c r="S137" s="89"/>
    </row>
    <row r="138" spans="1:19" ht="14.25" customHeight="1">
      <c r="A138" s="3" t="s">
        <v>44</v>
      </c>
      <c r="B138" s="3">
        <f>B133+1</f>
        <v>43</v>
      </c>
      <c r="D138" s="216">
        <f>D133+7</f>
        <v>38662</v>
      </c>
      <c r="E138" s="19"/>
      <c r="F138" s="20">
        <v>0.23</v>
      </c>
      <c r="H138" s="21">
        <f>H135*F138</f>
        <v>0.43124999999999997</v>
      </c>
      <c r="I138" s="21"/>
      <c r="J138" s="5">
        <f>VLOOKUP(H138,TABLE,2,TRUE)</f>
        <v>5</v>
      </c>
      <c r="L138" s="79">
        <f>(H138*L135)</f>
        <v>0</v>
      </c>
      <c r="M138" s="79">
        <f>(H138*M135)</f>
        <v>0.336375</v>
      </c>
      <c r="N138" s="79">
        <f>(H138*N135)</f>
        <v>0.05175</v>
      </c>
      <c r="O138" s="79">
        <f>(H138*O135)</f>
        <v>0.034499999999999996</v>
      </c>
      <c r="P138" s="79">
        <f>(H138*P135)</f>
        <v>0.0043124999999999995</v>
      </c>
      <c r="Q138" s="79">
        <f>(H138*Q135)</f>
        <v>0.0043124999999999995</v>
      </c>
      <c r="R138" s="79">
        <f>(H138*R135)</f>
        <v>0</v>
      </c>
      <c r="S138" s="24"/>
    </row>
    <row r="139" spans="1:19" ht="14.25" customHeight="1">
      <c r="A139" s="3" t="s">
        <v>44</v>
      </c>
      <c r="B139" s="3">
        <f>B138+1</f>
        <v>44</v>
      </c>
      <c r="D139" s="216">
        <f>D138+7</f>
        <v>38669</v>
      </c>
      <c r="E139" s="19"/>
      <c r="F139" s="20">
        <v>0.26</v>
      </c>
      <c r="H139" s="21">
        <f>H135*F139</f>
        <v>0.48749999999999993</v>
      </c>
      <c r="I139" s="21"/>
      <c r="J139" s="5">
        <f>VLOOKUP(H139,TABLE,2,TRUE)</f>
        <v>5</v>
      </c>
      <c r="L139" s="79">
        <f>(H139*L135)</f>
        <v>0</v>
      </c>
      <c r="M139" s="79">
        <f>(H139*M135)</f>
        <v>0.38025</v>
      </c>
      <c r="N139" s="79">
        <f>(H139*N135)</f>
        <v>0.05849999999999999</v>
      </c>
      <c r="O139" s="79">
        <f>(H139*O135)</f>
        <v>0.03899999999999999</v>
      </c>
      <c r="P139" s="79">
        <f>(H139*P135)</f>
        <v>0.004874999999999999</v>
      </c>
      <c r="Q139" s="79">
        <f>(H139*Q135)</f>
        <v>0.004874999999999999</v>
      </c>
      <c r="R139" s="79">
        <f>(H139*R135)</f>
        <v>0</v>
      </c>
      <c r="S139" s="24"/>
    </row>
    <row r="140" spans="1:19" ht="14.25" customHeight="1">
      <c r="A140" s="3" t="s">
        <v>44</v>
      </c>
      <c r="B140" s="3">
        <f>B139+1</f>
        <v>45</v>
      </c>
      <c r="D140" s="216">
        <f>D139+7</f>
        <v>38676</v>
      </c>
      <c r="E140" s="19"/>
      <c r="F140" s="20">
        <v>0.29</v>
      </c>
      <c r="H140" s="21">
        <f>H135*F140</f>
        <v>0.5437499999999998</v>
      </c>
      <c r="I140" s="21"/>
      <c r="J140" s="5">
        <f>VLOOKUP(H140,TABLE,2,TRUE)</f>
        <v>6</v>
      </c>
      <c r="L140" s="79">
        <f>(H140*L135)</f>
        <v>0</v>
      </c>
      <c r="M140" s="79">
        <f>(H140*M135)</f>
        <v>0.4241249999999999</v>
      </c>
      <c r="N140" s="79">
        <f>(H140*N135)</f>
        <v>0.06524999999999997</v>
      </c>
      <c r="O140" s="79">
        <f>(H140*O135)</f>
        <v>0.04349999999999999</v>
      </c>
      <c r="P140" s="79">
        <f>(H140*P135)</f>
        <v>0.005437499999999999</v>
      </c>
      <c r="Q140" s="79">
        <f>(H140*Q135)</f>
        <v>0.005437499999999999</v>
      </c>
      <c r="R140" s="79">
        <f>(H140*R135)</f>
        <v>0</v>
      </c>
      <c r="S140" s="24"/>
    </row>
    <row r="141" spans="1:19" ht="14.25" customHeight="1">
      <c r="A141" s="3" t="s">
        <v>44</v>
      </c>
      <c r="B141" s="3">
        <f>B140+1</f>
        <v>46</v>
      </c>
      <c r="D141" s="216">
        <f>D140+7</f>
        <v>38683</v>
      </c>
      <c r="E141" s="19"/>
      <c r="F141" s="20">
        <f>1-SUM(F138:F140)</f>
        <v>0.21999999999999997</v>
      </c>
      <c r="H141" s="21">
        <f>H135*F141</f>
        <v>0.4124999999999999</v>
      </c>
      <c r="I141" s="21"/>
      <c r="J141" s="5">
        <f>VLOOKUP(H141,TABLE,2,TRUE)</f>
        <v>5</v>
      </c>
      <c r="L141" s="79">
        <f>(H141*L135)</f>
        <v>0</v>
      </c>
      <c r="M141" s="79">
        <f>(H141*M135)</f>
        <v>0.3217499999999999</v>
      </c>
      <c r="N141" s="79">
        <f>(H141*N135)</f>
        <v>0.04949999999999999</v>
      </c>
      <c r="O141" s="79">
        <f>(H141*O135)</f>
        <v>0.032999999999999995</v>
      </c>
      <c r="P141" s="79">
        <f>(H141*P135)</f>
        <v>0.004124999999999999</v>
      </c>
      <c r="Q141" s="79">
        <f>(H141*Q135)</f>
        <v>0.004124999999999999</v>
      </c>
      <c r="R141" s="79">
        <f>(H141*R135)</f>
        <v>0</v>
      </c>
      <c r="S141" s="24"/>
    </row>
    <row r="142" spans="1:24" ht="14.25" customHeight="1">
      <c r="A142" s="8"/>
      <c r="B142" s="9"/>
      <c r="C142" s="8"/>
      <c r="D142" s="10"/>
      <c r="E142" s="10"/>
      <c r="F142" s="11"/>
      <c r="G142" s="8"/>
      <c r="H142" s="9"/>
      <c r="I142" s="9"/>
      <c r="J142" s="11"/>
      <c r="K142" s="11"/>
      <c r="L142" s="11"/>
      <c r="M142" s="11"/>
      <c r="N142" s="11"/>
      <c r="O142" s="11"/>
      <c r="P142" s="11"/>
      <c r="Q142" s="11"/>
      <c r="R142" s="11"/>
      <c r="S142" s="8"/>
      <c r="T142" s="8"/>
      <c r="U142" s="8"/>
      <c r="V142" s="8"/>
      <c r="W142" s="8"/>
      <c r="X142" s="8"/>
    </row>
    <row r="143" spans="1:19" ht="12.75">
      <c r="A143" s="2" t="s">
        <v>84</v>
      </c>
      <c r="D143" s="217">
        <f>D149</f>
        <v>38711</v>
      </c>
      <c r="F143" s="20">
        <v>0.1</v>
      </c>
      <c r="H143" s="21">
        <f>(F143*HOURS)</f>
        <v>2.0833333333333335</v>
      </c>
      <c r="I143" s="21"/>
      <c r="J143" s="5">
        <f>SUM(J146:J149)</f>
        <v>22</v>
      </c>
      <c r="L143" s="76">
        <v>0</v>
      </c>
      <c r="M143" s="76">
        <f>1-(SUM(N143:R143)+L143)</f>
        <v>0.74</v>
      </c>
      <c r="N143" s="20">
        <v>0.12</v>
      </c>
      <c r="O143" s="20">
        <v>0.09</v>
      </c>
      <c r="P143" s="20">
        <v>0.04</v>
      </c>
      <c r="Q143" s="20">
        <v>0.01</v>
      </c>
      <c r="R143" s="20">
        <v>0</v>
      </c>
      <c r="S143" s="22"/>
    </row>
    <row r="144" ht="6.75" customHeight="1">
      <c r="M144" s="27"/>
    </row>
    <row r="145" spans="2:19" s="39" customFormat="1" ht="12.75" customHeight="1">
      <c r="B145" s="38"/>
      <c r="D145" s="88"/>
      <c r="E145" s="88"/>
      <c r="F145" s="85" t="s">
        <v>45</v>
      </c>
      <c r="G145" s="56"/>
      <c r="H145" s="55"/>
      <c r="I145" s="55"/>
      <c r="J145" s="86"/>
      <c r="K145" s="86"/>
      <c r="L145" s="91" t="s">
        <v>46</v>
      </c>
      <c r="M145" s="91"/>
      <c r="N145" s="91"/>
      <c r="O145" s="41"/>
      <c r="P145" s="41"/>
      <c r="Q145" s="41"/>
      <c r="R145" s="91"/>
      <c r="S145" s="89"/>
    </row>
    <row r="146" spans="1:19" ht="14.25" customHeight="1">
      <c r="A146" s="3" t="s">
        <v>44</v>
      </c>
      <c r="B146" s="3">
        <f>B141+1</f>
        <v>47</v>
      </c>
      <c r="D146" s="216">
        <f>D141+7</f>
        <v>38690</v>
      </c>
      <c r="E146" s="19"/>
      <c r="F146" s="20">
        <v>0.23</v>
      </c>
      <c r="H146" s="21">
        <f>H143*F146</f>
        <v>0.47916666666666674</v>
      </c>
      <c r="I146" s="21"/>
      <c r="J146" s="5">
        <f>VLOOKUP(H146,TABLE,2,TRUE)</f>
        <v>5</v>
      </c>
      <c r="L146" s="79">
        <f>(H146*L143)</f>
        <v>0</v>
      </c>
      <c r="M146" s="79">
        <f>(H146*M143)</f>
        <v>0.35458333333333336</v>
      </c>
      <c r="N146" s="79">
        <f>(H146*N143)</f>
        <v>0.05750000000000001</v>
      </c>
      <c r="O146" s="79">
        <f>(H146*O143)</f>
        <v>0.043125000000000004</v>
      </c>
      <c r="P146" s="79">
        <f>(H146*P143)</f>
        <v>0.01916666666666667</v>
      </c>
      <c r="Q146" s="79">
        <f>(H146*Q143)</f>
        <v>0.004791666666666667</v>
      </c>
      <c r="R146" s="79">
        <f>(H146*R143)</f>
        <v>0</v>
      </c>
      <c r="S146" s="24"/>
    </row>
    <row r="147" spans="1:19" ht="14.25" customHeight="1">
      <c r="A147" s="3" t="s">
        <v>44</v>
      </c>
      <c r="B147" s="3">
        <f>B146+1</f>
        <v>48</v>
      </c>
      <c r="D147" s="216">
        <f>D146+7</f>
        <v>38697</v>
      </c>
      <c r="E147" s="19"/>
      <c r="F147" s="20">
        <v>0.26</v>
      </c>
      <c r="H147" s="21">
        <f>H143*F147</f>
        <v>0.5416666666666667</v>
      </c>
      <c r="I147" s="21"/>
      <c r="J147" s="5">
        <f>VLOOKUP(H147,TABLE,2,TRUE)</f>
        <v>6</v>
      </c>
      <c r="L147" s="79">
        <f>(H147*L143)</f>
        <v>0</v>
      </c>
      <c r="M147" s="79">
        <f>(H147*M143)</f>
        <v>0.4008333333333334</v>
      </c>
      <c r="N147" s="79">
        <f>(H147*N143)</f>
        <v>0.065</v>
      </c>
      <c r="O147" s="79">
        <f>(H147*O143)</f>
        <v>0.04875</v>
      </c>
      <c r="P147" s="79">
        <f>(H147*P143)</f>
        <v>0.02166666666666667</v>
      </c>
      <c r="Q147" s="79">
        <f>(H147*Q143)</f>
        <v>0.005416666666666668</v>
      </c>
      <c r="R147" s="79">
        <f>(H147*R143)</f>
        <v>0</v>
      </c>
      <c r="S147" s="24"/>
    </row>
    <row r="148" spans="1:19" ht="14.25" customHeight="1">
      <c r="A148" s="3" t="s">
        <v>44</v>
      </c>
      <c r="B148" s="3">
        <f>B147+1</f>
        <v>49</v>
      </c>
      <c r="D148" s="216">
        <f>D147+7</f>
        <v>38704</v>
      </c>
      <c r="E148" s="19"/>
      <c r="F148" s="20">
        <v>0.29</v>
      </c>
      <c r="H148" s="21">
        <f>H143*F148</f>
        <v>0.6041666666666666</v>
      </c>
      <c r="I148" s="21"/>
      <c r="J148" s="5">
        <f>VLOOKUP(H148,TABLE,2,TRUE)</f>
        <v>6</v>
      </c>
      <c r="L148" s="79">
        <f>(H148*L143)</f>
        <v>0</v>
      </c>
      <c r="M148" s="79">
        <f>(H148*M143)</f>
        <v>0.4470833333333333</v>
      </c>
      <c r="N148" s="79">
        <f>(H148*N143)</f>
        <v>0.0725</v>
      </c>
      <c r="O148" s="79">
        <f>(H148*O143)</f>
        <v>0.05437499999999999</v>
      </c>
      <c r="P148" s="79">
        <f>(H148*P143)</f>
        <v>0.024166666666666666</v>
      </c>
      <c r="Q148" s="79">
        <f>(H148*Q143)</f>
        <v>0.0060416666666666665</v>
      </c>
      <c r="R148" s="79">
        <f>(H148*R143)</f>
        <v>0</v>
      </c>
      <c r="S148" s="24"/>
    </row>
    <row r="149" spans="1:19" ht="14.25" customHeight="1">
      <c r="A149" s="3" t="s">
        <v>44</v>
      </c>
      <c r="B149" s="3">
        <f>B148+1</f>
        <v>50</v>
      </c>
      <c r="D149" s="216">
        <f>D148+7</f>
        <v>38711</v>
      </c>
      <c r="E149" s="19"/>
      <c r="F149" s="20">
        <f>1-SUM(F146:F148)</f>
        <v>0.21999999999999997</v>
      </c>
      <c r="H149" s="21">
        <f>H143*F149</f>
        <v>0.4583333333333333</v>
      </c>
      <c r="I149" s="21"/>
      <c r="J149" s="5">
        <f>VLOOKUP(H149,TABLE,2,TRUE)</f>
        <v>5</v>
      </c>
      <c r="L149" s="79">
        <f>(H149*L143)</f>
        <v>0</v>
      </c>
      <c r="M149" s="79">
        <f>(H149*M143)</f>
        <v>0.33916666666666667</v>
      </c>
      <c r="N149" s="79">
        <f>(H149*N143)</f>
        <v>0.05499999999999999</v>
      </c>
      <c r="O149" s="79">
        <f>(H149*O143)</f>
        <v>0.041249999999999995</v>
      </c>
      <c r="P149" s="79">
        <f>(H149*P143)</f>
        <v>0.018333333333333333</v>
      </c>
      <c r="Q149" s="79">
        <f>(H149*Q143)</f>
        <v>0.004583333333333333</v>
      </c>
      <c r="R149" s="79">
        <f>(H149*R143)</f>
        <v>0</v>
      </c>
      <c r="S149" s="24"/>
    </row>
    <row r="150" spans="6:42" ht="14.25" customHeight="1">
      <c r="F150" s="94"/>
      <c r="Y150" s="30"/>
      <c r="Z150" s="30"/>
      <c r="AA150" s="30"/>
      <c r="AB150" s="30"/>
      <c r="AC150" s="62"/>
      <c r="AD150" s="76"/>
      <c r="AE150" s="31"/>
      <c r="AF150" s="31"/>
      <c r="AG150" s="25"/>
      <c r="AH150" s="31"/>
      <c r="AI150" s="31"/>
      <c r="AJ150" s="25"/>
      <c r="AK150" s="31"/>
      <c r="AL150" s="31"/>
      <c r="AM150" s="25"/>
      <c r="AN150" s="31"/>
      <c r="AO150" s="31"/>
      <c r="AP150" s="20"/>
    </row>
    <row r="151" spans="24:42" ht="14.25" customHeight="1" thickBot="1">
      <c r="X151" s="12"/>
      <c r="Y151" s="200"/>
      <c r="Z151" s="76"/>
      <c r="AA151" s="200"/>
      <c r="AB151" s="200"/>
      <c r="AC151" s="25"/>
      <c r="AD151" s="76"/>
      <c r="AE151" s="199"/>
      <c r="AF151" s="42"/>
      <c r="AG151" s="25"/>
      <c r="AH151" s="199"/>
      <c r="AI151" s="42"/>
      <c r="AJ151" s="25"/>
      <c r="AK151" s="199"/>
      <c r="AL151" s="42"/>
      <c r="AM151" s="25"/>
      <c r="AN151" s="199"/>
      <c r="AO151" s="42"/>
      <c r="AP151" s="20"/>
    </row>
    <row r="152" spans="6:42" ht="14.25" customHeight="1">
      <c r="F152" s="176" t="s">
        <v>69</v>
      </c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77"/>
      <c r="S152" s="177"/>
      <c r="T152" s="146"/>
      <c r="Y152" s="200"/>
      <c r="Z152" s="76"/>
      <c r="AA152" s="200"/>
      <c r="AB152" s="200"/>
      <c r="AC152" s="25"/>
      <c r="AD152" s="76"/>
      <c r="AE152" s="120"/>
      <c r="AF152" s="120"/>
      <c r="AG152" s="86"/>
      <c r="AH152" s="120"/>
      <c r="AI152" s="120"/>
      <c r="AJ152" s="86"/>
      <c r="AK152" s="120"/>
      <c r="AL152" s="120"/>
      <c r="AM152" s="76"/>
      <c r="AN152" s="120"/>
      <c r="AO152" s="120"/>
      <c r="AP152" s="20"/>
    </row>
    <row r="153" spans="6:42" ht="14.25" customHeight="1">
      <c r="F153" s="231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3"/>
      <c r="Y153" s="200"/>
      <c r="Z153" s="76"/>
      <c r="AA153" s="200"/>
      <c r="AB153" s="200"/>
      <c r="AC153" s="68"/>
      <c r="AD153" s="76"/>
      <c r="AE153" s="76"/>
      <c r="AF153" s="76"/>
      <c r="AG153" s="86"/>
      <c r="AH153" s="76"/>
      <c r="AI153" s="76"/>
      <c r="AJ153" s="86"/>
      <c r="AK153" s="76"/>
      <c r="AL153" s="76"/>
      <c r="AM153" s="76"/>
      <c r="AN153" s="76"/>
      <c r="AO153" s="76"/>
      <c r="AP153" s="20"/>
    </row>
    <row r="154" spans="6:42" ht="14.25" customHeight="1">
      <c r="F154" s="179" t="s">
        <v>48</v>
      </c>
      <c r="G154" s="219" t="s">
        <v>71</v>
      </c>
      <c r="H154" s="220"/>
      <c r="I154" s="220"/>
      <c r="J154" s="221"/>
      <c r="K154" s="221"/>
      <c r="L154" s="221"/>
      <c r="M154" s="221"/>
      <c r="N154" s="222" t="s">
        <v>70</v>
      </c>
      <c r="O154" s="223"/>
      <c r="P154" s="222"/>
      <c r="Q154" s="222"/>
      <c r="R154" s="222"/>
      <c r="S154" s="222"/>
      <c r="T154" s="180"/>
      <c r="Y154" s="200"/>
      <c r="Z154" s="76"/>
      <c r="AA154" s="200"/>
      <c r="AB154" s="200"/>
      <c r="AC154" s="28"/>
      <c r="AD154" s="28"/>
      <c r="AE154" s="76"/>
      <c r="AF154" s="76"/>
      <c r="AG154" s="64"/>
      <c r="AH154" s="76"/>
      <c r="AI154" s="76"/>
      <c r="AJ154" s="64"/>
      <c r="AK154" s="76"/>
      <c r="AL154" s="76"/>
      <c r="AM154" s="76"/>
      <c r="AN154" s="76"/>
      <c r="AO154" s="76"/>
      <c r="AP154" s="20"/>
    </row>
    <row r="155" spans="6:42" ht="14.25" customHeight="1">
      <c r="F155" s="231"/>
      <c r="G155" s="232"/>
      <c r="H155" s="232"/>
      <c r="I155" s="232"/>
      <c r="J155" s="232"/>
      <c r="K155" s="232"/>
      <c r="L155" s="232"/>
      <c r="M155" s="232"/>
      <c r="N155" s="32">
        <v>168</v>
      </c>
      <c r="O155" s="32">
        <f aca="true" t="shared" si="6" ref="O155:T155">N155+2</f>
        <v>170</v>
      </c>
      <c r="P155" s="32">
        <f t="shared" si="6"/>
        <v>172</v>
      </c>
      <c r="Q155" s="32">
        <f t="shared" si="6"/>
        <v>174</v>
      </c>
      <c r="R155" s="32">
        <f t="shared" si="6"/>
        <v>176</v>
      </c>
      <c r="S155" s="32">
        <f t="shared" si="6"/>
        <v>178</v>
      </c>
      <c r="T155" s="181">
        <f t="shared" si="6"/>
        <v>180</v>
      </c>
      <c r="X155" s="39"/>
      <c r="Y155" s="200"/>
      <c r="Z155" s="76"/>
      <c r="AA155" s="200"/>
      <c r="AB155" s="200"/>
      <c r="AC155" s="25"/>
      <c r="AD155" s="25"/>
      <c r="AE155" s="76"/>
      <c r="AF155" s="76"/>
      <c r="AG155" s="27"/>
      <c r="AH155" s="76"/>
      <c r="AI155" s="76"/>
      <c r="AJ155" s="27"/>
      <c r="AK155" s="76"/>
      <c r="AL155" s="76"/>
      <c r="AM155" s="76"/>
      <c r="AN155" s="76"/>
      <c r="AO155" s="76"/>
      <c r="AP155" s="20"/>
    </row>
    <row r="156" spans="6:42" ht="14.25" customHeight="1">
      <c r="F156" s="231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3"/>
      <c r="Y156" s="200"/>
      <c r="Z156" s="76"/>
      <c r="AA156" s="200"/>
      <c r="AB156" s="200"/>
      <c r="AC156" s="25"/>
      <c r="AD156" s="25"/>
      <c r="AE156" s="72"/>
      <c r="AF156" s="72"/>
      <c r="AG156" s="27"/>
      <c r="AH156" s="76"/>
      <c r="AI156" s="76"/>
      <c r="AJ156" s="27"/>
      <c r="AK156" s="76"/>
      <c r="AL156" s="76"/>
      <c r="AM156" s="76"/>
      <c r="AN156" s="76"/>
      <c r="AO156" s="76"/>
      <c r="AP156" s="20"/>
    </row>
    <row r="157" spans="6:42" ht="14.25" customHeight="1">
      <c r="F157" s="178">
        <v>1</v>
      </c>
      <c r="G157" s="33" t="s">
        <v>76</v>
      </c>
      <c r="H157" s="1"/>
      <c r="I157" s="1"/>
      <c r="J157" s="27"/>
      <c r="K157" s="27"/>
      <c r="L157" s="27"/>
      <c r="M157" s="27"/>
      <c r="N157" s="34">
        <f aca="true" t="shared" si="7" ref="N157:T157">N155*0.69</f>
        <v>115.91999999999999</v>
      </c>
      <c r="O157" s="34">
        <f t="shared" si="7"/>
        <v>117.3</v>
      </c>
      <c r="P157" s="34">
        <f t="shared" si="7"/>
        <v>118.67999999999999</v>
      </c>
      <c r="Q157" s="34">
        <f t="shared" si="7"/>
        <v>120.05999999999999</v>
      </c>
      <c r="R157" s="34">
        <f t="shared" si="7"/>
        <v>121.44</v>
      </c>
      <c r="S157" s="34">
        <f t="shared" si="7"/>
        <v>122.82</v>
      </c>
      <c r="T157" s="182">
        <f t="shared" si="7"/>
        <v>124.19999999999999</v>
      </c>
      <c r="Y157" s="200"/>
      <c r="Z157" s="76"/>
      <c r="AA157" s="200"/>
      <c r="AB157" s="200"/>
      <c r="AC157" s="25"/>
      <c r="AD157" s="25"/>
      <c r="AE157" s="27"/>
      <c r="AF157" s="27"/>
      <c r="AG157" s="27"/>
      <c r="AH157" s="72"/>
      <c r="AI157" s="72"/>
      <c r="AJ157" s="69"/>
      <c r="AK157" s="76"/>
      <c r="AL157" s="76"/>
      <c r="AM157" s="76"/>
      <c r="AN157" s="76"/>
      <c r="AO157" s="76"/>
      <c r="AP157" s="198"/>
    </row>
    <row r="158" spans="6:41" ht="14.25" customHeight="1">
      <c r="F158" s="178">
        <v>2</v>
      </c>
      <c r="G158" s="33" t="s">
        <v>75</v>
      </c>
      <c r="H158" s="1"/>
      <c r="I158" s="1"/>
      <c r="J158" s="27"/>
      <c r="K158" s="27"/>
      <c r="L158" s="27"/>
      <c r="M158" s="27"/>
      <c r="N158" s="34">
        <f aca="true" t="shared" si="8" ref="N158:T158">N155*0.83</f>
        <v>139.44</v>
      </c>
      <c r="O158" s="34">
        <f t="shared" si="8"/>
        <v>141.1</v>
      </c>
      <c r="P158" s="34">
        <f t="shared" si="8"/>
        <v>142.76</v>
      </c>
      <c r="Q158" s="34">
        <f t="shared" si="8"/>
        <v>144.42</v>
      </c>
      <c r="R158" s="34">
        <f t="shared" si="8"/>
        <v>146.07999999999998</v>
      </c>
      <c r="S158" s="34">
        <f t="shared" si="8"/>
        <v>147.73999999999998</v>
      </c>
      <c r="T158" s="182">
        <f t="shared" si="8"/>
        <v>149.4</v>
      </c>
      <c r="Y158" s="25"/>
      <c r="Z158" s="25"/>
      <c r="AA158" s="25"/>
      <c r="AB158" s="25"/>
      <c r="AC158" s="25"/>
      <c r="AD158" s="25"/>
      <c r="AE158" s="30"/>
      <c r="AF158" s="30"/>
      <c r="AG158" s="30"/>
      <c r="AH158" s="30"/>
      <c r="AI158" s="30"/>
      <c r="AJ158" s="30"/>
      <c r="AK158" s="72"/>
      <c r="AL158" s="72"/>
      <c r="AM158" s="76"/>
      <c r="AN158" s="76"/>
      <c r="AO158" s="76"/>
    </row>
    <row r="159" spans="6:41" ht="14.25" customHeight="1">
      <c r="F159" s="178">
        <v>3</v>
      </c>
      <c r="G159" s="33" t="s">
        <v>74</v>
      </c>
      <c r="H159" s="1"/>
      <c r="I159" s="1"/>
      <c r="J159" s="27"/>
      <c r="K159" s="27"/>
      <c r="L159" s="27"/>
      <c r="M159" s="27"/>
      <c r="N159" s="34">
        <f aca="true" t="shared" si="9" ref="N159:T159">N155*0.94</f>
        <v>157.92</v>
      </c>
      <c r="O159" s="34">
        <f t="shared" si="9"/>
        <v>159.79999999999998</v>
      </c>
      <c r="P159" s="34">
        <f t="shared" si="9"/>
        <v>161.67999999999998</v>
      </c>
      <c r="Q159" s="34">
        <f t="shared" si="9"/>
        <v>163.56</v>
      </c>
      <c r="R159" s="34">
        <f t="shared" si="9"/>
        <v>165.44</v>
      </c>
      <c r="S159" s="34">
        <f t="shared" si="9"/>
        <v>167.32</v>
      </c>
      <c r="T159" s="182">
        <f t="shared" si="9"/>
        <v>169.2</v>
      </c>
      <c r="Y159" s="25"/>
      <c r="Z159" s="25"/>
      <c r="AA159" s="25"/>
      <c r="AB159" s="25"/>
      <c r="AC159" s="25"/>
      <c r="AD159" s="25"/>
      <c r="AE159" s="27"/>
      <c r="AF159" s="76"/>
      <c r="AG159" s="27"/>
      <c r="AH159" s="27"/>
      <c r="AI159" s="27"/>
      <c r="AJ159" s="27"/>
      <c r="AK159" s="27"/>
      <c r="AL159" s="27"/>
      <c r="AM159" s="27"/>
      <c r="AN159" s="72"/>
      <c r="AO159" s="72"/>
    </row>
    <row r="160" spans="6:20" ht="14.25" customHeight="1">
      <c r="F160" s="178">
        <v>4</v>
      </c>
      <c r="G160" s="33" t="s">
        <v>73</v>
      </c>
      <c r="H160" s="1"/>
      <c r="I160" s="1"/>
      <c r="J160" s="27"/>
      <c r="K160" s="27"/>
      <c r="L160" s="27"/>
      <c r="M160" s="27"/>
      <c r="N160" s="34">
        <f aca="true" t="shared" si="10" ref="N160:T160">N155*1.05</f>
        <v>176.4</v>
      </c>
      <c r="O160" s="34">
        <f t="shared" si="10"/>
        <v>178.5</v>
      </c>
      <c r="P160" s="34">
        <f t="shared" si="10"/>
        <v>180.6</v>
      </c>
      <c r="Q160" s="34">
        <f t="shared" si="10"/>
        <v>182.70000000000002</v>
      </c>
      <c r="R160" s="34">
        <f t="shared" si="10"/>
        <v>184.8</v>
      </c>
      <c r="S160" s="34">
        <f t="shared" si="10"/>
        <v>186.9</v>
      </c>
      <c r="T160" s="182">
        <f t="shared" si="10"/>
        <v>189</v>
      </c>
    </row>
    <row r="161" spans="6:20" ht="14.25" customHeight="1" thickBot="1">
      <c r="F161" s="183">
        <v>5</v>
      </c>
      <c r="G161" s="184" t="s">
        <v>72</v>
      </c>
      <c r="H161" s="185"/>
      <c r="I161" s="185"/>
      <c r="J161" s="186"/>
      <c r="K161" s="186"/>
      <c r="L161" s="186"/>
      <c r="M161" s="186"/>
      <c r="N161" s="187">
        <f aca="true" t="shared" si="11" ref="N161:T161">N155*1.06</f>
        <v>178.08</v>
      </c>
      <c r="O161" s="187">
        <f t="shared" si="11"/>
        <v>180.20000000000002</v>
      </c>
      <c r="P161" s="187">
        <f t="shared" si="11"/>
        <v>182.32000000000002</v>
      </c>
      <c r="Q161" s="187">
        <f t="shared" si="11"/>
        <v>184.44</v>
      </c>
      <c r="R161" s="187">
        <f t="shared" si="11"/>
        <v>186.56</v>
      </c>
      <c r="S161" s="187">
        <f t="shared" si="11"/>
        <v>188.68</v>
      </c>
      <c r="T161" s="188">
        <f t="shared" si="11"/>
        <v>190.8</v>
      </c>
    </row>
    <row r="162" ht="12.75">
      <c r="AC162" s="44"/>
    </row>
    <row r="163" ht="12.75">
      <c r="AC163" s="44"/>
    </row>
    <row r="164" spans="26:29" ht="12.75">
      <c r="Z164" s="140"/>
      <c r="AA164" s="139"/>
      <c r="AB164" s="44"/>
      <c r="AC164" s="44"/>
    </row>
    <row r="165" spans="26:29" ht="12.75">
      <c r="Z165" s="140"/>
      <c r="AA165" s="139"/>
      <c r="AB165" s="44"/>
      <c r="AC165" s="44"/>
    </row>
    <row r="166" spans="26:29" ht="12.75">
      <c r="Z166" s="140"/>
      <c r="AA166" s="139"/>
      <c r="AB166" s="44"/>
      <c r="AC166" s="44"/>
    </row>
    <row r="167" spans="26:29" ht="12.75">
      <c r="Z167" s="140"/>
      <c r="AA167" s="139"/>
      <c r="AB167" s="44"/>
      <c r="AC167" s="44"/>
    </row>
    <row r="168" spans="26:29" ht="12.75">
      <c r="Z168" s="140"/>
      <c r="AA168" s="139"/>
      <c r="AB168" s="44"/>
      <c r="AC168" s="44"/>
    </row>
    <row r="169" spans="26:29" ht="12.75">
      <c r="Z169" s="140"/>
      <c r="AA169" s="139"/>
      <c r="AB169" s="44"/>
      <c r="AC169" s="44"/>
    </row>
    <row r="170" spans="26:29" ht="12.75">
      <c r="Z170" s="140"/>
      <c r="AA170" s="139"/>
      <c r="AB170" s="44"/>
      <c r="AC170" s="44"/>
    </row>
    <row r="171" spans="26:29" ht="12.75">
      <c r="Z171" s="140"/>
      <c r="AA171" s="139"/>
      <c r="AB171" s="44"/>
      <c r="AC171" s="44"/>
    </row>
    <row r="172" spans="26:29" ht="12.75">
      <c r="Z172" s="140"/>
      <c r="AA172" s="139"/>
      <c r="AB172" s="44"/>
      <c r="AC172" s="44"/>
    </row>
    <row r="173" spans="26:29" ht="12.75">
      <c r="Z173" s="140"/>
      <c r="AA173" s="139"/>
      <c r="AB173" s="44"/>
      <c r="AC173" s="44"/>
    </row>
    <row r="174" spans="26:29" ht="12.75">
      <c r="Z174" s="140"/>
      <c r="AA174" s="139"/>
      <c r="AB174" s="44"/>
      <c r="AC174" s="44"/>
    </row>
    <row r="175" spans="26:29" ht="12.75">
      <c r="Z175" s="140"/>
      <c r="AA175" s="139"/>
      <c r="AB175" s="44"/>
      <c r="AC175" s="44"/>
    </row>
    <row r="176" spans="26:29" ht="12.75">
      <c r="Z176" s="140"/>
      <c r="AA176" s="139"/>
      <c r="AB176" s="44"/>
      <c r="AC176" s="44"/>
    </row>
    <row r="177" spans="26:29" ht="12.75">
      <c r="Z177" s="140"/>
      <c r="AA177" s="139"/>
      <c r="AB177" s="44"/>
      <c r="AC177" s="44"/>
    </row>
  </sheetData>
  <mergeCells count="12">
    <mergeCell ref="D32:R32"/>
    <mergeCell ref="D35:R35"/>
    <mergeCell ref="D34:K34"/>
    <mergeCell ref="V33:W34"/>
    <mergeCell ref="T33:U34"/>
    <mergeCell ref="V35:W35"/>
    <mergeCell ref="V36:W36"/>
    <mergeCell ref="F153:T153"/>
    <mergeCell ref="F155:M155"/>
    <mergeCell ref="F156:T156"/>
    <mergeCell ref="V37:W37"/>
    <mergeCell ref="V38:W38"/>
  </mergeCells>
  <printOptions horizontalCentered="1" verticalCentered="1"/>
  <pageMargins left="0.5" right="0.5" top="0.5" bottom="0.5" header="0.5" footer="0.5"/>
  <pageSetup fitToWidth="2" horizontalDpi="300" verticalDpi="300" orientation="portrait" scale="74" r:id="rId1"/>
  <rowBreaks count="2" manualBreakCount="2">
    <brk id="42" max="255" man="1"/>
    <brk id="109" max="255" man="1"/>
  </rowBreaks>
  <colBreaks count="1" manualBreakCount="1">
    <brk id="24" max="1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.00390625" style="3" customWidth="1"/>
    <col min="3" max="3" width="1.7109375" style="2" customWidth="1"/>
    <col min="4" max="4" width="5.28125" style="4" customWidth="1"/>
    <col min="5" max="5" width="2.140625" style="4" customWidth="1"/>
    <col min="6" max="6" width="8.140625" style="5" customWidth="1"/>
    <col min="7" max="7" width="1.57421875" style="2" customWidth="1"/>
    <col min="8" max="8" width="6.140625" style="3" customWidth="1"/>
    <col min="9" max="9" width="1.57421875" style="3" customWidth="1"/>
    <col min="10" max="10" width="7.140625" style="5" customWidth="1"/>
    <col min="11" max="11" width="1.57421875" style="5" customWidth="1"/>
    <col min="12" max="18" width="5.8515625" style="5" customWidth="1"/>
    <col min="19" max="19" width="4.28125" style="2" customWidth="1"/>
    <col min="20" max="20" width="6.8515625" style="2" customWidth="1"/>
    <col min="21" max="21" width="8.28125" style="2" customWidth="1"/>
    <col min="22" max="22" width="6.140625" style="2" customWidth="1"/>
    <col min="23" max="23" width="6.28125" style="2" customWidth="1"/>
    <col min="24" max="24" width="3.7109375" style="2" customWidth="1"/>
    <col min="25" max="41" width="6.421875" style="2" customWidth="1"/>
    <col min="42" max="44" width="6.00390625" style="2" customWidth="1"/>
    <col min="45" max="46" width="6.7109375" style="2" customWidth="1"/>
    <col min="47" max="16384" width="9.140625" style="2" customWidth="1"/>
  </cols>
  <sheetData>
    <row r="1" spans="1:24" ht="6.75" customHeight="1">
      <c r="A1" s="25"/>
      <c r="B1" s="26"/>
      <c r="C1" s="25"/>
      <c r="D1" s="33"/>
      <c r="E1" s="33"/>
      <c r="F1" s="27"/>
      <c r="G1" s="25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  <c r="S1" s="25"/>
      <c r="T1" s="25"/>
      <c r="U1" s="25"/>
      <c r="V1" s="25"/>
      <c r="W1" s="25"/>
      <c r="X1" s="25"/>
    </row>
    <row r="2" spans="1:24" s="37" customFormat="1" ht="18.75" thickBot="1">
      <c r="A2" s="83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138" customFormat="1" ht="19.5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M3" s="204">
        <v>11.458333333333334</v>
      </c>
      <c r="N3" s="173" t="s">
        <v>87</v>
      </c>
      <c r="P3" s="137"/>
      <c r="Q3" s="137"/>
      <c r="R3" s="137"/>
      <c r="S3" s="137"/>
      <c r="T3" s="137"/>
      <c r="U3" s="137"/>
      <c r="V3" s="137"/>
      <c r="W3" s="137"/>
      <c r="X3" s="137"/>
    </row>
    <row r="4" spans="1:24" ht="12.75">
      <c r="A4" s="25"/>
      <c r="B4" s="26"/>
      <c r="C4" s="25"/>
      <c r="D4" s="33"/>
      <c r="E4" s="33"/>
      <c r="F4" s="27"/>
      <c r="G4" s="25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5"/>
      <c r="T4" s="25"/>
      <c r="U4" s="25"/>
      <c r="V4" s="25"/>
      <c r="W4" s="25"/>
      <c r="X4" s="25"/>
    </row>
    <row r="5" spans="1:24" s="12" customFormat="1" ht="14.25" customHeight="1">
      <c r="A5" s="28"/>
      <c r="B5" s="71"/>
      <c r="C5" s="28"/>
      <c r="D5" s="29"/>
      <c r="E5" s="29"/>
      <c r="F5" s="72"/>
      <c r="G5" s="28"/>
      <c r="H5" s="73"/>
      <c r="I5" s="73"/>
      <c r="J5" s="30"/>
      <c r="K5" s="30"/>
      <c r="M5" s="74"/>
      <c r="N5" s="74"/>
      <c r="O5" s="74"/>
      <c r="P5" s="74"/>
      <c r="Q5" s="74"/>
      <c r="R5" s="74"/>
      <c r="S5" s="74"/>
      <c r="T5" s="28"/>
      <c r="U5" s="28"/>
      <c r="V5" s="28"/>
      <c r="W5" s="28"/>
      <c r="X5" s="28"/>
    </row>
    <row r="6" spans="1:24" ht="12.75">
      <c r="A6" s="25" t="s">
        <v>42</v>
      </c>
      <c r="B6" s="26"/>
      <c r="C6" s="25"/>
      <c r="D6" s="216">
        <f>D11</f>
        <v>38375</v>
      </c>
      <c r="E6" s="33"/>
      <c r="F6" s="201">
        <v>0.058</v>
      </c>
      <c r="G6" s="25"/>
      <c r="H6" s="77">
        <f>(F6*HOURS)</f>
        <v>0.6645833333333334</v>
      </c>
      <c r="I6" s="77"/>
      <c r="J6" s="27">
        <f>SUM(J9:J11)</f>
        <v>13</v>
      </c>
      <c r="K6" s="27"/>
      <c r="L6" s="76">
        <v>0</v>
      </c>
      <c r="M6" s="76">
        <v>0.78</v>
      </c>
      <c r="N6" s="76">
        <v>0.1</v>
      </c>
      <c r="O6" s="76">
        <v>0.08</v>
      </c>
      <c r="P6" s="76">
        <v>0.03</v>
      </c>
      <c r="Q6" s="76">
        <v>0.01</v>
      </c>
      <c r="R6" s="76">
        <v>0</v>
      </c>
      <c r="S6" s="78"/>
      <c r="T6" s="25"/>
      <c r="U6" s="25"/>
      <c r="V6" s="25"/>
      <c r="W6" s="25"/>
      <c r="X6" s="25"/>
    </row>
    <row r="7" spans="1:24" ht="6.75" customHeight="1">
      <c r="A7" s="25"/>
      <c r="B7" s="26"/>
      <c r="C7" s="25"/>
      <c r="D7" s="33"/>
      <c r="E7" s="33"/>
      <c r="F7" s="27"/>
      <c r="G7" s="25"/>
      <c r="H7" s="26"/>
      <c r="I7" s="26"/>
      <c r="J7" s="27"/>
      <c r="K7" s="27"/>
      <c r="M7" s="27"/>
      <c r="N7" s="27"/>
      <c r="O7" s="27"/>
      <c r="P7" s="27"/>
      <c r="Q7" s="27"/>
      <c r="R7" s="27"/>
      <c r="S7" s="25"/>
      <c r="T7" s="25"/>
      <c r="U7" s="25"/>
      <c r="V7" s="25"/>
      <c r="W7" s="25"/>
      <c r="X7" s="25"/>
    </row>
    <row r="8" spans="1:24" s="39" customFormat="1" ht="12" customHeight="1">
      <c r="A8" s="56"/>
      <c r="B8" s="55"/>
      <c r="C8" s="56"/>
      <c r="D8" s="84"/>
      <c r="E8" s="84"/>
      <c r="F8" s="85" t="s">
        <v>45</v>
      </c>
      <c r="G8" s="56"/>
      <c r="H8" s="55"/>
      <c r="I8" s="55"/>
      <c r="J8" s="86"/>
      <c r="K8" s="86"/>
      <c r="L8" s="91" t="s">
        <v>46</v>
      </c>
      <c r="M8" s="91"/>
      <c r="N8" s="91"/>
      <c r="O8" s="41"/>
      <c r="P8" s="41"/>
      <c r="Q8" s="41"/>
      <c r="R8" s="91"/>
      <c r="S8" s="85"/>
      <c r="T8" s="56"/>
      <c r="U8" s="56"/>
      <c r="V8" s="56"/>
      <c r="W8" s="56"/>
      <c r="X8" s="56"/>
    </row>
    <row r="9" spans="1:24" ht="14.25" customHeight="1">
      <c r="A9" s="26" t="s">
        <v>44</v>
      </c>
      <c r="B9" s="26">
        <f>B4+1</f>
        <v>1</v>
      </c>
      <c r="C9" s="25"/>
      <c r="D9" s="216">
        <v>38361</v>
      </c>
      <c r="E9" s="75"/>
      <c r="F9" s="20">
        <v>0.36</v>
      </c>
      <c r="G9" s="25"/>
      <c r="H9" s="77">
        <f>H6*F9</f>
        <v>0.23925000000000002</v>
      </c>
      <c r="I9" s="77"/>
      <c r="J9" s="27">
        <f>VLOOKUP(H9,TABLE,2,TRUE)</f>
        <v>4</v>
      </c>
      <c r="K9" s="27"/>
      <c r="L9" s="79">
        <f>(H9*L6)</f>
        <v>0</v>
      </c>
      <c r="M9" s="79">
        <f>(H9*M6)</f>
        <v>0.18661500000000003</v>
      </c>
      <c r="N9" s="79">
        <f>(H9*N6)</f>
        <v>0.023925000000000002</v>
      </c>
      <c r="O9" s="79">
        <f>(H9*O6)</f>
        <v>0.01914</v>
      </c>
      <c r="P9" s="79">
        <f>(H9*P6)</f>
        <v>0.0071775</v>
      </c>
      <c r="Q9" s="79">
        <f>(H9*Q6)</f>
        <v>0.0023925</v>
      </c>
      <c r="R9" s="79">
        <f>(H9*R6)</f>
        <v>0</v>
      </c>
      <c r="S9" s="79"/>
      <c r="T9" s="25"/>
      <c r="U9" s="25"/>
      <c r="V9" s="25"/>
      <c r="W9" s="25"/>
      <c r="X9" s="25"/>
    </row>
    <row r="10" spans="1:24" ht="14.25" customHeight="1">
      <c r="A10" s="26" t="s">
        <v>44</v>
      </c>
      <c r="B10" s="26">
        <f>B9+1</f>
        <v>2</v>
      </c>
      <c r="C10" s="25"/>
      <c r="D10" s="216">
        <f>D9+7</f>
        <v>38368</v>
      </c>
      <c r="E10" s="75"/>
      <c r="F10" s="20">
        <v>0.42</v>
      </c>
      <c r="G10" s="25"/>
      <c r="H10" s="77">
        <f>H6*F10</f>
        <v>0.279125</v>
      </c>
      <c r="I10" s="77"/>
      <c r="J10" s="27">
        <f>VLOOKUP(H10,TABLE,2,TRUE)</f>
        <v>5</v>
      </c>
      <c r="K10" s="27"/>
      <c r="L10" s="79">
        <f>(H10*L6)</f>
        <v>0</v>
      </c>
      <c r="M10" s="79">
        <f>(H10*M6)</f>
        <v>0.2177175</v>
      </c>
      <c r="N10" s="79">
        <f>(H10*N6)</f>
        <v>0.027912500000000003</v>
      </c>
      <c r="O10" s="79">
        <f>(H10*O6)</f>
        <v>0.022330000000000003</v>
      </c>
      <c r="P10" s="79">
        <f>(H10*P6)</f>
        <v>0.00837375</v>
      </c>
      <c r="Q10" s="79">
        <f>(H10*Q6)</f>
        <v>0.0027912500000000003</v>
      </c>
      <c r="R10" s="79">
        <f>(H10*R6)</f>
        <v>0</v>
      </c>
      <c r="S10" s="79"/>
      <c r="T10" s="25"/>
      <c r="U10" s="25"/>
      <c r="V10" s="25"/>
      <c r="W10" s="25"/>
      <c r="X10" s="25"/>
    </row>
    <row r="11" spans="1:24" ht="14.25" customHeight="1">
      <c r="A11" s="26" t="s">
        <v>44</v>
      </c>
      <c r="B11" s="26">
        <f>B10+1</f>
        <v>3</v>
      </c>
      <c r="C11" s="25"/>
      <c r="D11" s="216">
        <f>D10+7</f>
        <v>38375</v>
      </c>
      <c r="E11" s="75"/>
      <c r="F11" s="20">
        <f>1-SUM(F9:F10)</f>
        <v>0.21999999999999997</v>
      </c>
      <c r="G11" s="25"/>
      <c r="H11" s="77">
        <f>H6*F11</f>
        <v>0.14620833333333333</v>
      </c>
      <c r="I11" s="77"/>
      <c r="J11" s="27">
        <f>VLOOKUP(H11,TABLE,2,TRUE)</f>
        <v>4</v>
      </c>
      <c r="K11" s="27"/>
      <c r="L11" s="79">
        <f>(H11*L6)</f>
        <v>0</v>
      </c>
      <c r="M11" s="79">
        <f>(H11*M6)</f>
        <v>0.1140425</v>
      </c>
      <c r="N11" s="79">
        <f>(H11*N6)</f>
        <v>0.014620833333333333</v>
      </c>
      <c r="O11" s="79">
        <f>(H11*O6)</f>
        <v>0.011696666666666666</v>
      </c>
      <c r="P11" s="79">
        <f>(H11*P6)</f>
        <v>0.0043862499999999995</v>
      </c>
      <c r="Q11" s="79">
        <f>(H11*Q6)</f>
        <v>0.0014620833333333332</v>
      </c>
      <c r="R11" s="79">
        <f>(H11*R6)</f>
        <v>0</v>
      </c>
      <c r="S11" s="79"/>
      <c r="T11" s="25"/>
      <c r="U11" s="25"/>
      <c r="V11" s="25"/>
      <c r="W11" s="25"/>
      <c r="X11" s="25"/>
    </row>
    <row r="12" spans="1:24" s="8" customFormat="1" ht="14.25" customHeight="1">
      <c r="A12" s="81"/>
      <c r="B12" s="80"/>
      <c r="C12" s="81"/>
      <c r="D12" s="82"/>
      <c r="E12" s="82"/>
      <c r="F12" s="66"/>
      <c r="G12" s="81"/>
      <c r="H12" s="80"/>
      <c r="I12" s="80"/>
      <c r="J12" s="66"/>
      <c r="K12" s="66"/>
      <c r="M12" s="66"/>
      <c r="N12" s="66"/>
      <c r="O12" s="66"/>
      <c r="P12" s="66"/>
      <c r="Q12" s="66"/>
      <c r="R12" s="66"/>
      <c r="S12" s="81"/>
      <c r="T12" s="81"/>
      <c r="U12" s="81"/>
      <c r="V12" s="81"/>
      <c r="W12" s="81"/>
      <c r="X12" s="81"/>
    </row>
    <row r="13" spans="1:24" ht="14.25" customHeight="1">
      <c r="A13" s="8"/>
      <c r="B13" s="9"/>
      <c r="C13" s="8"/>
      <c r="D13" s="10"/>
      <c r="E13" s="10"/>
      <c r="F13" s="11"/>
      <c r="G13" s="8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8"/>
      <c r="T13" s="8"/>
      <c r="U13" s="8"/>
      <c r="V13" s="8"/>
      <c r="W13" s="8"/>
      <c r="X13" s="8"/>
    </row>
    <row r="14" spans="1:19" ht="12.75">
      <c r="A14" s="2" t="s">
        <v>62</v>
      </c>
      <c r="D14" s="217">
        <f>D20</f>
        <v>38403</v>
      </c>
      <c r="F14" s="20">
        <v>0.1</v>
      </c>
      <c r="H14" s="21">
        <f>(F14*HOURS)</f>
        <v>1.1458333333333335</v>
      </c>
      <c r="I14" s="21"/>
      <c r="J14" s="5">
        <f>SUM(J17:J20)</f>
        <v>20</v>
      </c>
      <c r="L14" s="76">
        <v>0.02</v>
      </c>
      <c r="M14" s="76">
        <f>1-(SUM(N14:R14)+L14)</f>
        <v>0.62</v>
      </c>
      <c r="N14" s="20">
        <v>0.175</v>
      </c>
      <c r="O14" s="20">
        <v>0.02</v>
      </c>
      <c r="P14" s="20">
        <v>0.015</v>
      </c>
      <c r="Q14" s="20">
        <v>0.01</v>
      </c>
      <c r="R14" s="20">
        <v>0.14</v>
      </c>
      <c r="S14" s="22"/>
    </row>
    <row r="15" ht="6.75" customHeight="1">
      <c r="M15" s="27"/>
    </row>
    <row r="16" spans="2:19" s="39" customFormat="1" ht="12.75" customHeight="1">
      <c r="B16" s="38"/>
      <c r="D16" s="88"/>
      <c r="E16" s="88"/>
      <c r="F16" s="85" t="s">
        <v>45</v>
      </c>
      <c r="G16" s="56"/>
      <c r="H16" s="55"/>
      <c r="I16" s="55"/>
      <c r="J16" s="86"/>
      <c r="K16" s="86"/>
      <c r="L16" s="91" t="s">
        <v>46</v>
      </c>
      <c r="M16" s="91"/>
      <c r="N16" s="91"/>
      <c r="O16" s="41"/>
      <c r="P16" s="41"/>
      <c r="Q16" s="41"/>
      <c r="R16" s="91"/>
      <c r="S16" s="89"/>
    </row>
    <row r="17" spans="1:19" ht="14.25" customHeight="1">
      <c r="A17" s="26" t="s">
        <v>44</v>
      </c>
      <c r="B17" s="26">
        <f>B11+1</f>
        <v>4</v>
      </c>
      <c r="D17" s="216">
        <f>D11+7</f>
        <v>38382</v>
      </c>
      <c r="E17" s="19"/>
      <c r="F17" s="20">
        <v>0.22</v>
      </c>
      <c r="H17" s="21">
        <f>H14*F17</f>
        <v>0.2520833333333334</v>
      </c>
      <c r="I17" s="21"/>
      <c r="J17" s="5">
        <f>VLOOKUP(H17,TABLE,2,TRUE)</f>
        <v>5</v>
      </c>
      <c r="L17" s="79">
        <f>(H17*L14)</f>
        <v>0.005041666666666667</v>
      </c>
      <c r="M17" s="79">
        <f>(H17*M14)</f>
        <v>0.1562916666666667</v>
      </c>
      <c r="N17" s="79">
        <f>(H17*N14)</f>
        <v>0.04411458333333334</v>
      </c>
      <c r="O17" s="79">
        <f>(H17*O14)</f>
        <v>0.005041666666666667</v>
      </c>
      <c r="P17" s="79">
        <f>(H17*P14)</f>
        <v>0.0037812500000000008</v>
      </c>
      <c r="Q17" s="79">
        <f>(H17*Q14)</f>
        <v>0.0025208333333333337</v>
      </c>
      <c r="R17" s="79">
        <f>(H17*R14)</f>
        <v>0.03529166666666668</v>
      </c>
      <c r="S17" s="24"/>
    </row>
    <row r="18" spans="1:19" ht="14.25" customHeight="1">
      <c r="A18" s="26" t="s">
        <v>44</v>
      </c>
      <c r="B18" s="3">
        <f>B17+1</f>
        <v>5</v>
      </c>
      <c r="D18" s="216">
        <f>D17+7</f>
        <v>38389</v>
      </c>
      <c r="E18" s="19"/>
      <c r="F18" s="20">
        <v>0.27</v>
      </c>
      <c r="H18" s="21">
        <f>H14*F18</f>
        <v>0.30937500000000007</v>
      </c>
      <c r="I18" s="21"/>
      <c r="J18" s="5">
        <f>VLOOKUP(H18,TABLE,2,TRUE)</f>
        <v>5</v>
      </c>
      <c r="L18" s="79">
        <f>(H18*L14)</f>
        <v>0.006187500000000001</v>
      </c>
      <c r="M18" s="79">
        <f>(H18*M14)</f>
        <v>0.19181250000000005</v>
      </c>
      <c r="N18" s="79">
        <f>(H18*N14)</f>
        <v>0.05414062500000001</v>
      </c>
      <c r="O18" s="79">
        <f>(H18*O14)</f>
        <v>0.006187500000000001</v>
      </c>
      <c r="P18" s="79">
        <f>(H18*P14)</f>
        <v>0.004640625000000001</v>
      </c>
      <c r="Q18" s="79">
        <f>(H18*Q14)</f>
        <v>0.0030937500000000006</v>
      </c>
      <c r="R18" s="79">
        <f>(H18*R14)</f>
        <v>0.04331250000000001</v>
      </c>
      <c r="S18" s="24"/>
    </row>
    <row r="19" spans="1:19" ht="14.25" customHeight="1">
      <c r="A19" s="26" t="s">
        <v>44</v>
      </c>
      <c r="B19" s="3">
        <f>B18+1</f>
        <v>6</v>
      </c>
      <c r="D19" s="216">
        <f>D18+7</f>
        <v>38396</v>
      </c>
      <c r="E19" s="19"/>
      <c r="F19" s="20">
        <v>0.33</v>
      </c>
      <c r="H19" s="21">
        <f>H14*F19</f>
        <v>0.37812500000000004</v>
      </c>
      <c r="I19" s="21"/>
      <c r="J19" s="5">
        <f>VLOOKUP(H19,TABLE,2,TRUE)</f>
        <v>6</v>
      </c>
      <c r="L19" s="79">
        <f>(H19*L14)</f>
        <v>0.007562500000000001</v>
      </c>
      <c r="M19" s="79">
        <f>(H19*M14)</f>
        <v>0.23443750000000002</v>
      </c>
      <c r="N19" s="79">
        <f>(H19*N14)</f>
        <v>0.066171875</v>
      </c>
      <c r="O19" s="79">
        <f>(H19*O14)</f>
        <v>0.007562500000000001</v>
      </c>
      <c r="P19" s="79">
        <f>(H19*P14)</f>
        <v>0.005671875000000001</v>
      </c>
      <c r="Q19" s="79">
        <f>(H19*Q14)</f>
        <v>0.0037812500000000003</v>
      </c>
      <c r="R19" s="79">
        <f>(H19*R14)</f>
        <v>0.05293750000000001</v>
      </c>
      <c r="S19" s="24"/>
    </row>
    <row r="20" spans="1:19" ht="14.25" customHeight="1">
      <c r="A20" s="26" t="s">
        <v>44</v>
      </c>
      <c r="B20" s="3">
        <f>B19+1</f>
        <v>7</v>
      </c>
      <c r="D20" s="216">
        <f>D19+7</f>
        <v>38403</v>
      </c>
      <c r="E20" s="19"/>
      <c r="F20" s="20">
        <f>1-SUM(F17:F19)</f>
        <v>0.17999999999999994</v>
      </c>
      <c r="H20" s="21">
        <f>H14*F20</f>
        <v>0.20624999999999996</v>
      </c>
      <c r="I20" s="21"/>
      <c r="J20" s="5">
        <f>VLOOKUP(H20,TABLE,2,TRUE)</f>
        <v>4</v>
      </c>
      <c r="L20" s="79">
        <f>(H20*L14)</f>
        <v>0.004124999999999999</v>
      </c>
      <c r="M20" s="79">
        <f>(H20*M14)</f>
        <v>0.127875</v>
      </c>
      <c r="N20" s="79">
        <f>(H20*N14)</f>
        <v>0.036093749999999994</v>
      </c>
      <c r="O20" s="79">
        <f>(H20*O14)</f>
        <v>0.004124999999999999</v>
      </c>
      <c r="P20" s="79">
        <f>(H20*P14)</f>
        <v>0.0030937499999999993</v>
      </c>
      <c r="Q20" s="79">
        <f>(H20*Q14)</f>
        <v>0.0020624999999999997</v>
      </c>
      <c r="R20" s="79">
        <f>(H20*R14)</f>
        <v>0.028874999999999998</v>
      </c>
      <c r="S20" s="24"/>
    </row>
    <row r="21" spans="1:24" ht="14.25" customHeight="1">
      <c r="A21" s="8"/>
      <c r="B21" s="9"/>
      <c r="C21" s="8"/>
      <c r="D21" s="10"/>
      <c r="E21" s="10"/>
      <c r="F21" s="11"/>
      <c r="G21" s="8"/>
      <c r="H21" s="9"/>
      <c r="I21" s="9"/>
      <c r="J21" s="11"/>
      <c r="K21" s="11"/>
      <c r="L21" s="11"/>
      <c r="M21" s="11"/>
      <c r="N21" s="11"/>
      <c r="O21" s="11"/>
      <c r="P21" s="11"/>
      <c r="Q21" s="11"/>
      <c r="R21" s="11"/>
      <c r="S21" s="8"/>
      <c r="U21" s="8"/>
      <c r="V21" s="8"/>
      <c r="W21" s="8"/>
      <c r="X21" s="8"/>
    </row>
    <row r="22" spans="1:19" ht="12.75">
      <c r="A22" s="2" t="s">
        <v>63</v>
      </c>
      <c r="D22" s="217">
        <f>D29</f>
        <v>38438</v>
      </c>
      <c r="F22" s="20">
        <v>0.1375</v>
      </c>
      <c r="H22" s="21">
        <f>(F22*HOURS)</f>
        <v>1.5755208333333335</v>
      </c>
      <c r="I22" s="21"/>
      <c r="J22" s="5">
        <f>SUM(J25:J29)</f>
        <v>26</v>
      </c>
      <c r="L22" s="76">
        <v>0</v>
      </c>
      <c r="M22" s="76">
        <f>1-(SUM(N22:R22)+L22)</f>
        <v>0.57</v>
      </c>
      <c r="N22" s="20">
        <v>0.205</v>
      </c>
      <c r="O22" s="20">
        <v>0.04</v>
      </c>
      <c r="P22" s="20">
        <v>0.005</v>
      </c>
      <c r="Q22" s="20">
        <v>0.01</v>
      </c>
      <c r="R22" s="20">
        <v>0.17</v>
      </c>
      <c r="S22" s="22"/>
    </row>
    <row r="23" ht="6.75" customHeight="1">
      <c r="M23" s="27"/>
    </row>
    <row r="24" spans="2:20" s="39" customFormat="1" ht="12.75" customHeight="1">
      <c r="B24" s="38"/>
      <c r="D24" s="88"/>
      <c r="E24" s="88"/>
      <c r="F24" s="85" t="s">
        <v>45</v>
      </c>
      <c r="G24" s="56"/>
      <c r="H24" s="55"/>
      <c r="I24" s="55"/>
      <c r="J24" s="86"/>
      <c r="K24" s="86"/>
      <c r="L24" s="91" t="s">
        <v>46</v>
      </c>
      <c r="M24" s="91"/>
      <c r="N24" s="91"/>
      <c r="O24" s="41"/>
      <c r="P24" s="41"/>
      <c r="Q24" s="41"/>
      <c r="R24" s="91"/>
      <c r="S24" s="89"/>
      <c r="T24" s="2"/>
    </row>
    <row r="25" spans="1:19" ht="14.25" customHeight="1">
      <c r="A25" s="26" t="s">
        <v>44</v>
      </c>
      <c r="B25" s="3">
        <f>B20+1</f>
        <v>8</v>
      </c>
      <c r="D25" s="216">
        <f>D20+7</f>
        <v>38410</v>
      </c>
      <c r="E25" s="19"/>
      <c r="F25" s="20">
        <v>0.16</v>
      </c>
      <c r="H25" s="21">
        <f>H22*F25</f>
        <v>0.2520833333333334</v>
      </c>
      <c r="I25" s="21"/>
      <c r="J25" s="5">
        <f>VLOOKUP(H25,TABLE,2,TRUE)</f>
        <v>5</v>
      </c>
      <c r="L25" s="79">
        <f>(H25*L22)</f>
        <v>0</v>
      </c>
      <c r="M25" s="79">
        <f>(H25*M22)</f>
        <v>0.14368750000000002</v>
      </c>
      <c r="N25" s="79">
        <f>(H25*N22)</f>
        <v>0.05167708333333334</v>
      </c>
      <c r="O25" s="79">
        <f>(H25*O22)</f>
        <v>0.010083333333333335</v>
      </c>
      <c r="P25" s="79">
        <f>(H25*P22)</f>
        <v>0.0012604166666666668</v>
      </c>
      <c r="Q25" s="79">
        <f>(H25*Q22)</f>
        <v>0.0025208333333333337</v>
      </c>
      <c r="R25" s="79">
        <f>(H25*R22)</f>
        <v>0.04285416666666668</v>
      </c>
      <c r="S25" s="24"/>
    </row>
    <row r="26" spans="1:19" ht="14.25" customHeight="1">
      <c r="A26" s="26" t="s">
        <v>44</v>
      </c>
      <c r="B26" s="3">
        <f>B25+1</f>
        <v>9</v>
      </c>
      <c r="D26" s="216">
        <f>D25+7</f>
        <v>38417</v>
      </c>
      <c r="E26" s="19"/>
      <c r="F26" s="20">
        <v>0.193</v>
      </c>
      <c r="H26" s="21">
        <f>H22*F26</f>
        <v>0.3040755208333334</v>
      </c>
      <c r="I26" s="21"/>
      <c r="J26" s="5">
        <f>VLOOKUP(H26,TABLE,2,TRUE)</f>
        <v>5</v>
      </c>
      <c r="L26" s="79">
        <f>(H26*L22)</f>
        <v>0</v>
      </c>
      <c r="M26" s="79">
        <f>(H26*M22)</f>
        <v>0.17332304687500003</v>
      </c>
      <c r="N26" s="79">
        <f>(H26*N22)</f>
        <v>0.06233548177083334</v>
      </c>
      <c r="O26" s="79">
        <f>(H26*O22)</f>
        <v>0.012163020833333336</v>
      </c>
      <c r="P26" s="79">
        <f>(H26*P22)</f>
        <v>0.001520377604166667</v>
      </c>
      <c r="Q26" s="79">
        <f>(H26*Q22)</f>
        <v>0.003040755208333334</v>
      </c>
      <c r="R26" s="79">
        <f>(H26*R22)</f>
        <v>0.05169283854166668</v>
      </c>
      <c r="S26" s="24"/>
    </row>
    <row r="27" spans="1:19" ht="14.25" customHeight="1">
      <c r="A27" s="26" t="s">
        <v>44</v>
      </c>
      <c r="B27" s="3">
        <f>B26+1</f>
        <v>10</v>
      </c>
      <c r="D27" s="216">
        <f>D26+7</f>
        <v>38424</v>
      </c>
      <c r="E27" s="19"/>
      <c r="F27" s="20">
        <v>0.23</v>
      </c>
      <c r="H27" s="21">
        <f>H22*F27</f>
        <v>0.3623697916666667</v>
      </c>
      <c r="I27" s="21"/>
      <c r="J27" s="5">
        <f>VLOOKUP(H27,TABLE,2,TRUE)</f>
        <v>6</v>
      </c>
      <c r="L27" s="79">
        <f>(H27*L22)</f>
        <v>0</v>
      </c>
      <c r="M27" s="79">
        <f>(H27*M22)</f>
        <v>0.20655078125</v>
      </c>
      <c r="N27" s="79">
        <f>(H27*N22)</f>
        <v>0.07428580729166667</v>
      </c>
      <c r="O27" s="79">
        <f>(H27*O22)</f>
        <v>0.01449479166666667</v>
      </c>
      <c r="P27" s="79">
        <f>(H27*P22)</f>
        <v>0.0018118489583333337</v>
      </c>
      <c r="Q27" s="79">
        <f>(H27*Q22)</f>
        <v>0.0036236979166666674</v>
      </c>
      <c r="R27" s="79">
        <f>(H27*R22)</f>
        <v>0.06160286458333335</v>
      </c>
      <c r="S27" s="24"/>
    </row>
    <row r="28" spans="1:19" ht="14.25" customHeight="1">
      <c r="A28" s="26" t="s">
        <v>44</v>
      </c>
      <c r="B28" s="3">
        <f>B27+1</f>
        <v>11</v>
      </c>
      <c r="D28" s="216">
        <f>D27+7</f>
        <v>38431</v>
      </c>
      <c r="E28" s="19"/>
      <c r="F28" s="20">
        <v>0.269</v>
      </c>
      <c r="H28" s="21">
        <f>H22*F28</f>
        <v>0.42381510416666673</v>
      </c>
      <c r="I28" s="21"/>
      <c r="J28" s="5">
        <f>VLOOKUP(H28,TABLE,2,TRUE)</f>
        <v>6</v>
      </c>
      <c r="L28" s="79">
        <f>(H28*L22)</f>
        <v>0</v>
      </c>
      <c r="M28" s="79">
        <f>(H28*M22)</f>
        <v>0.24157460937500003</v>
      </c>
      <c r="N28" s="79">
        <f>(H28*N22)</f>
        <v>0.08688209635416667</v>
      </c>
      <c r="O28" s="79">
        <f>(H28*O22)</f>
        <v>0.01695260416666667</v>
      </c>
      <c r="P28" s="79">
        <f>(H28*P22)</f>
        <v>0.0021190755208333337</v>
      </c>
      <c r="Q28" s="79">
        <f>(H28*Q22)</f>
        <v>0.004238151041666667</v>
      </c>
      <c r="R28" s="79">
        <f>(H28*R22)</f>
        <v>0.07204856770833334</v>
      </c>
      <c r="S28" s="24"/>
    </row>
    <row r="29" spans="1:19" ht="14.25" customHeight="1">
      <c r="A29" s="26" t="s">
        <v>44</v>
      </c>
      <c r="B29" s="3">
        <f>B28+1</f>
        <v>12</v>
      </c>
      <c r="D29" s="216">
        <f>D28+7</f>
        <v>38438</v>
      </c>
      <c r="E29" s="19"/>
      <c r="F29" s="20">
        <f>1-SUM(F25:F28)</f>
        <v>0.14800000000000002</v>
      </c>
      <c r="H29" s="21">
        <f>H22*F29</f>
        <v>0.2331770833333334</v>
      </c>
      <c r="I29" s="21"/>
      <c r="J29" s="5">
        <f>VLOOKUP(H29,TABLE,2,TRUE)</f>
        <v>4</v>
      </c>
      <c r="L29" s="79">
        <f>(H29*L22)</f>
        <v>0</v>
      </c>
      <c r="M29" s="79">
        <f>(H29*M23)</f>
        <v>0</v>
      </c>
      <c r="N29" s="79">
        <f>(H29*N22)</f>
        <v>0.047801302083333344</v>
      </c>
      <c r="O29" s="79">
        <f>(H29*O22)</f>
        <v>0.009327083333333337</v>
      </c>
      <c r="P29" s="79">
        <f>(H29*P22)</f>
        <v>0.001165885416666667</v>
      </c>
      <c r="Q29" s="79">
        <f>(H29*Q22)</f>
        <v>0.002331770833333334</v>
      </c>
      <c r="R29" s="79">
        <f>(H29*R22)</f>
        <v>0.03964010416666668</v>
      </c>
      <c r="S29" s="24"/>
    </row>
    <row r="30" ht="14.25" customHeight="1"/>
    <row r="31" spans="1:24" ht="12.75">
      <c r="A31" s="25" t="s">
        <v>43</v>
      </c>
      <c r="B31" s="26"/>
      <c r="C31" s="25"/>
      <c r="D31" s="216">
        <f>D39</f>
        <v>38417</v>
      </c>
      <c r="E31" s="33"/>
      <c r="F31" s="76">
        <v>0.13</v>
      </c>
      <c r="G31" s="25"/>
      <c r="H31" s="77">
        <f>(F31*HOURS)</f>
        <v>1.4895833333333335</v>
      </c>
      <c r="I31" s="77"/>
      <c r="J31" s="27">
        <f>SUM(J34:J39)</f>
        <v>28</v>
      </c>
      <c r="K31" s="27"/>
      <c r="L31" s="76">
        <v>0</v>
      </c>
      <c r="M31" s="76">
        <f>1-(SUM(N31:R31)+L31)</f>
        <v>0.76</v>
      </c>
      <c r="N31" s="76">
        <v>0.1</v>
      </c>
      <c r="O31" s="76">
        <v>0.09</v>
      </c>
      <c r="P31" s="76">
        <v>0.04</v>
      </c>
      <c r="Q31" s="76">
        <v>0.01</v>
      </c>
      <c r="R31" s="76">
        <v>0</v>
      </c>
      <c r="S31" s="78"/>
      <c r="T31" s="25"/>
      <c r="U31" s="25"/>
      <c r="V31" s="25"/>
      <c r="W31" s="25"/>
      <c r="X31" s="25"/>
    </row>
    <row r="32" spans="1:24" ht="6.75" customHeight="1">
      <c r="A32" s="25"/>
      <c r="B32" s="26"/>
      <c r="C32" s="25"/>
      <c r="D32" s="33"/>
      <c r="E32" s="33"/>
      <c r="F32" s="27"/>
      <c r="G32" s="25"/>
      <c r="H32" s="26"/>
      <c r="I32" s="26"/>
      <c r="J32" s="27"/>
      <c r="K32" s="27"/>
      <c r="M32" s="27"/>
      <c r="N32" s="27"/>
      <c r="O32" s="27"/>
      <c r="P32" s="27"/>
      <c r="Q32" s="27"/>
      <c r="R32" s="27"/>
      <c r="S32" s="25"/>
      <c r="T32" s="25"/>
      <c r="U32" s="25"/>
      <c r="V32" s="25"/>
      <c r="W32" s="25"/>
      <c r="X32" s="25"/>
    </row>
    <row r="33" spans="1:28" s="39" customFormat="1" ht="12" customHeight="1" thickBot="1">
      <c r="A33" s="56"/>
      <c r="B33" s="55"/>
      <c r="C33" s="56"/>
      <c r="D33" s="84"/>
      <c r="E33" s="84"/>
      <c r="F33" s="85" t="s">
        <v>45</v>
      </c>
      <c r="G33" s="56"/>
      <c r="H33" s="55"/>
      <c r="I33" s="55"/>
      <c r="J33" s="86"/>
      <c r="K33" s="86"/>
      <c r="L33" s="91" t="s">
        <v>46</v>
      </c>
      <c r="M33" s="91"/>
      <c r="N33" s="91"/>
      <c r="O33" s="41"/>
      <c r="P33" s="41"/>
      <c r="Q33" s="41"/>
      <c r="R33" s="91"/>
      <c r="S33" s="85"/>
      <c r="T33" s="56"/>
      <c r="U33" s="56"/>
      <c r="V33" s="56"/>
      <c r="W33" s="56"/>
      <c r="X33" s="56"/>
      <c r="AB33" s="87"/>
    </row>
    <row r="34" spans="1:24" ht="14.25" customHeight="1">
      <c r="A34" s="26" t="s">
        <v>44</v>
      </c>
      <c r="B34" s="3">
        <f>B29+1</f>
        <v>13</v>
      </c>
      <c r="C34" s="25"/>
      <c r="D34" s="216">
        <f>D11+7</f>
        <v>38382</v>
      </c>
      <c r="E34" s="75"/>
      <c r="F34" s="20">
        <v>0.153</v>
      </c>
      <c r="G34" s="25"/>
      <c r="H34" s="77">
        <f>H31*F34</f>
        <v>0.22790625</v>
      </c>
      <c r="I34" s="77"/>
      <c r="J34" s="27">
        <f aca="true" t="shared" si="0" ref="J34:J39">VLOOKUP(H34,TABLE,2,TRUE)</f>
        <v>4</v>
      </c>
      <c r="K34" s="27"/>
      <c r="L34" s="79">
        <f>(H34*L31)</f>
        <v>0</v>
      </c>
      <c r="M34" s="79">
        <f>(H34*M31)</f>
        <v>0.17320875</v>
      </c>
      <c r="N34" s="79">
        <f>(H34*N31)</f>
        <v>0.022790625000000002</v>
      </c>
      <c r="O34" s="79">
        <f>(H34*O31)</f>
        <v>0.0205115625</v>
      </c>
      <c r="P34" s="79">
        <f>(H34*P31)</f>
        <v>0.009116250000000001</v>
      </c>
      <c r="Q34" s="79">
        <f>(H34*Q31)</f>
        <v>0.0022790625000000003</v>
      </c>
      <c r="R34" s="79">
        <f>(H34*R31)</f>
        <v>0</v>
      </c>
      <c r="S34" s="79"/>
      <c r="T34" s="243" t="s">
        <v>88</v>
      </c>
      <c r="U34" s="244"/>
      <c r="V34" s="239" t="s">
        <v>57</v>
      </c>
      <c r="W34" s="240"/>
      <c r="X34" s="25"/>
    </row>
    <row r="35" spans="1:24" ht="14.25" customHeight="1">
      <c r="A35" s="26" t="s">
        <v>44</v>
      </c>
      <c r="B35" s="26">
        <f>B34+1</f>
        <v>14</v>
      </c>
      <c r="C35" s="25"/>
      <c r="D35" s="216">
        <f>D34+7</f>
        <v>38389</v>
      </c>
      <c r="E35" s="75"/>
      <c r="F35" s="20">
        <v>0.163</v>
      </c>
      <c r="G35" s="25"/>
      <c r="H35" s="77">
        <f>H31*F35</f>
        <v>0.24280208333333336</v>
      </c>
      <c r="I35" s="77"/>
      <c r="J35" s="27">
        <f t="shared" si="0"/>
        <v>5</v>
      </c>
      <c r="K35" s="27"/>
      <c r="L35" s="79">
        <f>(H35*L31)</f>
        <v>0</v>
      </c>
      <c r="M35" s="79">
        <f>(H35*M31)</f>
        <v>0.18452958333333336</v>
      </c>
      <c r="N35" s="79">
        <f>(H35*N31)</f>
        <v>0.024280208333333338</v>
      </c>
      <c r="O35" s="79">
        <f>(H35*O31)</f>
        <v>0.021852187500000002</v>
      </c>
      <c r="P35" s="79">
        <f>(H35*P31)</f>
        <v>0.009712083333333335</v>
      </c>
      <c r="Q35" s="79">
        <f>(H35*Q31)</f>
        <v>0.0024280208333333337</v>
      </c>
      <c r="R35" s="79">
        <f>(H35*R31)</f>
        <v>0</v>
      </c>
      <c r="S35" s="79"/>
      <c r="T35" s="245"/>
      <c r="U35" s="246"/>
      <c r="V35" s="241"/>
      <c r="W35" s="242"/>
      <c r="X35" s="25"/>
    </row>
    <row r="36" spans="1:24" ht="14.25" customHeight="1">
      <c r="A36" s="26" t="s">
        <v>44</v>
      </c>
      <c r="B36" s="26">
        <f>B35+1</f>
        <v>15</v>
      </c>
      <c r="C36" s="25"/>
      <c r="D36" s="216">
        <f>D35+7</f>
        <v>38396</v>
      </c>
      <c r="E36" s="75"/>
      <c r="F36" s="20">
        <v>0.173</v>
      </c>
      <c r="G36" s="25"/>
      <c r="H36" s="77">
        <f>H31*F36</f>
        <v>0.2576979166666667</v>
      </c>
      <c r="I36" s="77"/>
      <c r="J36" s="27">
        <f t="shared" si="0"/>
        <v>5</v>
      </c>
      <c r="K36" s="27"/>
      <c r="L36" s="79">
        <f>(H36*L31)</f>
        <v>0</v>
      </c>
      <c r="M36" s="79">
        <f>(H36*M31)</f>
        <v>0.1958504166666667</v>
      </c>
      <c r="N36" s="79">
        <f>(H36*N31)</f>
        <v>0.02576979166666667</v>
      </c>
      <c r="O36" s="79">
        <f>(H36*O31)</f>
        <v>0.0231928125</v>
      </c>
      <c r="P36" s="79">
        <f>(H36*P31)</f>
        <v>0.010307916666666668</v>
      </c>
      <c r="Q36" s="79">
        <f>(H36*Q31)</f>
        <v>0.002576979166666667</v>
      </c>
      <c r="R36" s="79">
        <f>(H36*R31)</f>
        <v>0</v>
      </c>
      <c r="S36" s="79"/>
      <c r="T36" s="189" t="s">
        <v>10</v>
      </c>
      <c r="U36" s="191">
        <v>0.10416666666666669</v>
      </c>
      <c r="V36" s="247">
        <v>3</v>
      </c>
      <c r="W36" s="248"/>
      <c r="X36" s="25"/>
    </row>
    <row r="37" spans="1:24" ht="14.25" customHeight="1">
      <c r="A37" s="26" t="s">
        <v>44</v>
      </c>
      <c r="B37" s="26">
        <f>B36+1</f>
        <v>16</v>
      </c>
      <c r="C37" s="25"/>
      <c r="D37" s="216">
        <f>D36+7</f>
        <v>38403</v>
      </c>
      <c r="E37" s="75"/>
      <c r="F37" s="20">
        <v>0.183</v>
      </c>
      <c r="G37" s="25"/>
      <c r="H37" s="77">
        <f>H31*F37</f>
        <v>0.27259375</v>
      </c>
      <c r="I37" s="77"/>
      <c r="J37" s="27">
        <f t="shared" si="0"/>
        <v>5</v>
      </c>
      <c r="K37" s="27"/>
      <c r="L37" s="79">
        <f>(H37*L31)</f>
        <v>0</v>
      </c>
      <c r="M37" s="79">
        <f>(H37*M31)</f>
        <v>0.20717125000000003</v>
      </c>
      <c r="N37" s="79">
        <f>(H37*N31)</f>
        <v>0.027259375000000002</v>
      </c>
      <c r="O37" s="79">
        <f>(H37*O31)</f>
        <v>0.0245334375</v>
      </c>
      <c r="P37" s="79">
        <f>(H37*P31)</f>
        <v>0.010903750000000002</v>
      </c>
      <c r="Q37" s="79">
        <f>(H37*Q31)</f>
        <v>0.0027259375000000005</v>
      </c>
      <c r="R37" s="79">
        <f>(H37*R31)</f>
        <v>0</v>
      </c>
      <c r="S37" s="79"/>
      <c r="T37" s="189" t="s">
        <v>10</v>
      </c>
      <c r="U37" s="191">
        <v>0.14583333333333334</v>
      </c>
      <c r="V37" s="249">
        <v>4</v>
      </c>
      <c r="W37" s="236"/>
      <c r="X37" s="25"/>
    </row>
    <row r="38" spans="1:24" ht="14.25" customHeight="1">
      <c r="A38" s="26" t="s">
        <v>44</v>
      </c>
      <c r="B38" s="26">
        <f>B37+1</f>
        <v>17</v>
      </c>
      <c r="C38" s="25"/>
      <c r="D38" s="216">
        <f>D37+7</f>
        <v>38410</v>
      </c>
      <c r="E38" s="75"/>
      <c r="F38" s="20">
        <v>0.193</v>
      </c>
      <c r="G38" s="25"/>
      <c r="H38" s="77">
        <f>H31*F38</f>
        <v>0.28748958333333335</v>
      </c>
      <c r="I38" s="77"/>
      <c r="J38" s="27">
        <f t="shared" si="0"/>
        <v>5</v>
      </c>
      <c r="K38" s="27"/>
      <c r="L38" s="79">
        <f>(H38*L31)</f>
        <v>0</v>
      </c>
      <c r="M38" s="79">
        <f>(H38*M32)</f>
        <v>0</v>
      </c>
      <c r="N38" s="79">
        <f>(H38*N31)</f>
        <v>0.028748958333333338</v>
      </c>
      <c r="O38" s="79">
        <f>(H38*O31)</f>
        <v>0.0258740625</v>
      </c>
      <c r="P38" s="79">
        <f>(H38*P31)</f>
        <v>0.011499583333333334</v>
      </c>
      <c r="Q38" s="79">
        <f>(H38*Q31)</f>
        <v>0.0028748958333333335</v>
      </c>
      <c r="R38" s="79">
        <f>(H38*R31)</f>
        <v>0</v>
      </c>
      <c r="S38" s="79"/>
      <c r="T38" s="189" t="s">
        <v>10</v>
      </c>
      <c r="U38" s="191">
        <v>0.23958333333333334</v>
      </c>
      <c r="V38" s="249">
        <v>5</v>
      </c>
      <c r="W38" s="236"/>
      <c r="X38" s="25"/>
    </row>
    <row r="39" spans="1:24" ht="14.25" customHeight="1" thickBot="1">
      <c r="A39" s="26" t="s">
        <v>44</v>
      </c>
      <c r="B39" s="26">
        <f>B38+1</f>
        <v>18</v>
      </c>
      <c r="C39" s="25"/>
      <c r="D39" s="216">
        <f>D38+7</f>
        <v>38417</v>
      </c>
      <c r="E39" s="75"/>
      <c r="F39" s="20">
        <v>0.146</v>
      </c>
      <c r="G39" s="25"/>
      <c r="H39" s="77">
        <f>H31*F39</f>
        <v>0.21747916666666667</v>
      </c>
      <c r="I39" s="77"/>
      <c r="J39" s="27">
        <f t="shared" si="0"/>
        <v>4</v>
      </c>
      <c r="K39" s="27"/>
      <c r="L39" s="79">
        <f>(H39*L31)</f>
        <v>0</v>
      </c>
      <c r="M39" s="79">
        <f>(H39*M31)</f>
        <v>0.16528416666666668</v>
      </c>
      <c r="N39" s="79">
        <f>(H39*N31)</f>
        <v>0.02174791666666667</v>
      </c>
      <c r="O39" s="79">
        <f>(H39*O31)</f>
        <v>0.019573125</v>
      </c>
      <c r="P39" s="79">
        <f>(H39*P31)</f>
        <v>0.008699166666666668</v>
      </c>
      <c r="Q39" s="79">
        <f>(H39*Q31)</f>
        <v>0.002174791666666667</v>
      </c>
      <c r="R39" s="79">
        <f>(H39*R31)</f>
        <v>0</v>
      </c>
      <c r="S39" s="79"/>
      <c r="T39" s="190" t="s">
        <v>10</v>
      </c>
      <c r="U39" s="192">
        <v>0.3229166666666667</v>
      </c>
      <c r="V39" s="251">
        <v>6</v>
      </c>
      <c r="W39" s="238"/>
      <c r="X39" s="25"/>
    </row>
    <row r="40" spans="1:24" s="8" customFormat="1" ht="14.25" customHeight="1">
      <c r="A40" s="81"/>
      <c r="B40" s="80"/>
      <c r="C40" s="81"/>
      <c r="D40" s="82"/>
      <c r="E40" s="82"/>
      <c r="F40" s="66"/>
      <c r="G40" s="81"/>
      <c r="H40" s="80"/>
      <c r="I40" s="80"/>
      <c r="J40" s="66"/>
      <c r="K40" s="66"/>
      <c r="M40" s="66"/>
      <c r="N40" s="66"/>
      <c r="O40" s="66"/>
      <c r="P40" s="66"/>
      <c r="Q40" s="66"/>
      <c r="R40" s="66"/>
      <c r="S40" s="81"/>
      <c r="T40" s="81"/>
      <c r="U40" s="81"/>
      <c r="V40" s="81"/>
      <c r="W40" s="81"/>
      <c r="X40" s="81"/>
    </row>
    <row r="41" spans="1:41" ht="18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250" t="s">
        <v>89</v>
      </c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</row>
    <row r="42" spans="4:25" ht="13.5" thickBot="1">
      <c r="D42" s="19"/>
      <c r="Y42"/>
    </row>
    <row r="43" spans="4:42" ht="18.75" customHeight="1" thickBot="1">
      <c r="D43" s="19"/>
      <c r="X43" s="2"/>
      <c r="Y43" s="204">
        <v>5.208333333333333</v>
      </c>
      <c r="Z43" s="204">
        <v>6.25</v>
      </c>
      <c r="AA43" s="204">
        <v>7.291666666666667</v>
      </c>
      <c r="AB43" s="204">
        <v>8.333333333333334</v>
      </c>
      <c r="AC43" s="204">
        <v>9.375</v>
      </c>
      <c r="AD43" s="204">
        <v>10.416666666666666</v>
      </c>
      <c r="AE43" s="204">
        <v>11.458333333333334</v>
      </c>
      <c r="AF43" s="204">
        <v>12.5</v>
      </c>
      <c r="AG43" s="204">
        <v>13.541666666666666</v>
      </c>
      <c r="AH43" s="204">
        <v>14.583333333333334</v>
      </c>
      <c r="AI43" s="204">
        <v>13.625</v>
      </c>
      <c r="AJ43" s="204">
        <v>15.625</v>
      </c>
      <c r="AK43" s="204">
        <v>16.666666666666668</v>
      </c>
      <c r="AL43" s="204">
        <v>17.708333333333332</v>
      </c>
      <c r="AM43" s="204">
        <v>18.75</v>
      </c>
      <c r="AN43" s="204">
        <v>19.791666666666668</v>
      </c>
      <c r="AO43" s="204">
        <v>20.833333333333332</v>
      </c>
      <c r="AP43" s="172"/>
    </row>
    <row r="44" spans="4:42" ht="9" customHeight="1" thickBot="1">
      <c r="D44" s="19"/>
      <c r="F44" s="94"/>
      <c r="Y44" s="214"/>
      <c r="Z44" s="211"/>
      <c r="AA44" s="211"/>
      <c r="AB44" s="211"/>
      <c r="AC44" s="211"/>
      <c r="AD44" s="211"/>
      <c r="AE44" s="212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138"/>
    </row>
    <row r="45" spans="4:42" ht="18.75" customHeight="1" thickBot="1">
      <c r="D45" s="19"/>
      <c r="F45" s="93"/>
      <c r="Y45" s="204">
        <v>21.875</v>
      </c>
      <c r="Z45" s="204">
        <v>22.916666666666668</v>
      </c>
      <c r="AA45" s="204">
        <v>23.958333333333332</v>
      </c>
      <c r="AB45" s="204">
        <v>25</v>
      </c>
      <c r="AC45" s="204">
        <v>26.041666666666668</v>
      </c>
      <c r="AD45" s="204">
        <v>27.083333333333332</v>
      </c>
      <c r="AE45" s="204">
        <v>28.125</v>
      </c>
      <c r="AF45" s="204">
        <v>29.166666666666668</v>
      </c>
      <c r="AG45" s="204">
        <v>30.208333333333332</v>
      </c>
      <c r="AH45" s="204">
        <v>31.25</v>
      </c>
      <c r="AI45" s="204">
        <v>32.291666666666664</v>
      </c>
      <c r="AJ45" s="204">
        <v>33.333333333333336</v>
      </c>
      <c r="AK45" s="204">
        <v>34.375</v>
      </c>
      <c r="AL45" s="204">
        <v>35.416666666666664</v>
      </c>
      <c r="AM45" s="204">
        <v>36.458333333333336</v>
      </c>
      <c r="AN45" s="204">
        <v>37.5</v>
      </c>
      <c r="AO45" s="213"/>
      <c r="AP45" s="147"/>
    </row>
    <row r="46" spans="6:42" ht="14.25" customHeight="1">
      <c r="F46" s="94"/>
      <c r="X46" s="39"/>
      <c r="Y46" s="92"/>
      <c r="Z46" s="42"/>
      <c r="AA46" s="42"/>
      <c r="AB46" s="42"/>
      <c r="AD46" s="197"/>
      <c r="AE46" s="147"/>
      <c r="AF46" s="147"/>
      <c r="AH46" s="147"/>
      <c r="AI46" s="147"/>
      <c r="AK46" s="147"/>
      <c r="AL46" s="147"/>
      <c r="AN46" s="147"/>
      <c r="AO46" s="147"/>
      <c r="AP46" s="147"/>
    </row>
    <row r="47" spans="6:42" ht="14.25" customHeight="1">
      <c r="F47" s="93"/>
      <c r="X47" s="6"/>
      <c r="Y47" s="7"/>
      <c r="Z47" s="95"/>
      <c r="AA47" s="95"/>
      <c r="AB47" s="95"/>
      <c r="AC47" s="39"/>
      <c r="AD47" s="20"/>
      <c r="AE47" s="197"/>
      <c r="AF47" s="95"/>
      <c r="AH47" s="197"/>
      <c r="AI47" s="95"/>
      <c r="AK47" s="197"/>
      <c r="AL47" s="95"/>
      <c r="AN47" s="197"/>
      <c r="AO47" s="95"/>
      <c r="AP47" s="95"/>
    </row>
    <row r="48" spans="6:42" ht="14.25" customHeight="1">
      <c r="F48" s="94"/>
      <c r="Y48" s="40" t="s">
        <v>102</v>
      </c>
      <c r="Z48" s="43"/>
      <c r="AA48" s="43"/>
      <c r="AB48" s="43"/>
      <c r="AD48" s="197"/>
      <c r="AE48" s="40" t="s">
        <v>91</v>
      </c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147" t="s">
        <v>0</v>
      </c>
    </row>
    <row r="49" spans="6:42" ht="14.25" customHeight="1">
      <c r="F49" s="93"/>
      <c r="Y49" s="7" t="s">
        <v>90</v>
      </c>
      <c r="Z49" s="95"/>
      <c r="AA49" s="95"/>
      <c r="AB49" s="95"/>
      <c r="AC49" s="39"/>
      <c r="AD49" s="20"/>
      <c r="AP49" s="95" t="s">
        <v>0</v>
      </c>
    </row>
    <row r="50" spans="6:42" ht="14.25" customHeight="1">
      <c r="F50" s="94"/>
      <c r="Y50" s="17" t="s">
        <v>92</v>
      </c>
      <c r="Z50" s="17" t="s">
        <v>93</v>
      </c>
      <c r="AA50" s="17" t="s">
        <v>94</v>
      </c>
      <c r="AB50" s="17" t="s">
        <v>95</v>
      </c>
      <c r="AC50" s="6"/>
      <c r="AD50" s="20"/>
      <c r="AE50" s="147" t="s">
        <v>96</v>
      </c>
      <c r="AF50" s="147"/>
      <c r="AH50" s="147" t="s">
        <v>97</v>
      </c>
      <c r="AI50" s="147"/>
      <c r="AK50" s="147" t="s">
        <v>98</v>
      </c>
      <c r="AL50" s="147"/>
      <c r="AN50" s="147" t="s">
        <v>99</v>
      </c>
      <c r="AO50" s="147"/>
      <c r="AP50" s="20"/>
    </row>
    <row r="51" spans="24:42" ht="14.25" customHeight="1">
      <c r="X51" s="12"/>
      <c r="Y51" s="201">
        <f>Z51/4*3-0.002</f>
        <v>0.043</v>
      </c>
      <c r="Z51" s="76">
        <v>0.06</v>
      </c>
      <c r="AA51" s="201">
        <f>Z51/4*5+0.003</f>
        <v>0.078</v>
      </c>
      <c r="AB51" s="201">
        <f>Z51/4*6+0.005</f>
        <v>0.095</v>
      </c>
      <c r="AD51" s="20"/>
      <c r="AE51" s="197" t="s">
        <v>45</v>
      </c>
      <c r="AF51" s="95"/>
      <c r="AH51" s="197" t="s">
        <v>45</v>
      </c>
      <c r="AI51" s="95"/>
      <c r="AK51" s="197" t="s">
        <v>45</v>
      </c>
      <c r="AL51" s="95"/>
      <c r="AN51" s="197" t="s">
        <v>45</v>
      </c>
      <c r="AO51" s="95"/>
      <c r="AP51" s="20"/>
    </row>
    <row r="52" spans="25:42" ht="14.25" customHeight="1">
      <c r="Y52" s="201">
        <f aca="true" t="shared" si="1" ref="Y52:Y57">Z52/4*3-0.002</f>
        <v>0.0505</v>
      </c>
      <c r="Z52" s="76">
        <v>0.07</v>
      </c>
      <c r="AA52" s="201">
        <f aca="true" t="shared" si="2" ref="AA52:AA57">Z52/4*5+0.003</f>
        <v>0.09050000000000001</v>
      </c>
      <c r="AB52" s="201">
        <f aca="true" t="shared" si="3" ref="AB52:AB57">Z52/4*6+0.005</f>
        <v>0.11000000000000001</v>
      </c>
      <c r="AD52" s="20"/>
      <c r="AE52" s="121" t="s">
        <v>100</v>
      </c>
      <c r="AF52" s="121" t="s">
        <v>101</v>
      </c>
      <c r="AG52" s="90"/>
      <c r="AH52" s="121" t="s">
        <v>100</v>
      </c>
      <c r="AI52" s="121" t="s">
        <v>101</v>
      </c>
      <c r="AJ52" s="90"/>
      <c r="AK52" s="121" t="s">
        <v>100</v>
      </c>
      <c r="AL52" s="121" t="s">
        <v>101</v>
      </c>
      <c r="AM52" s="20"/>
      <c r="AN52" s="121" t="s">
        <v>100</v>
      </c>
      <c r="AO52" s="121" t="s">
        <v>101</v>
      </c>
      <c r="AP52" s="20"/>
    </row>
    <row r="53" spans="25:42" ht="14.25" customHeight="1">
      <c r="Y53" s="201">
        <f t="shared" si="1"/>
        <v>0.057999999999999996</v>
      </c>
      <c r="Z53" s="76">
        <v>0.08</v>
      </c>
      <c r="AA53" s="201">
        <f t="shared" si="2"/>
        <v>0.10300000000000001</v>
      </c>
      <c r="AB53" s="201">
        <f t="shared" si="3"/>
        <v>0.125</v>
      </c>
      <c r="AC53" s="45"/>
      <c r="AD53" s="20"/>
      <c r="AE53" s="20">
        <v>0.36</v>
      </c>
      <c r="AF53" s="20">
        <v>0.33</v>
      </c>
      <c r="AG53" s="90"/>
      <c r="AH53" s="76">
        <v>0.23</v>
      </c>
      <c r="AI53" s="20">
        <v>0.22</v>
      </c>
      <c r="AJ53" s="90"/>
      <c r="AK53" s="20">
        <v>0.182</v>
      </c>
      <c r="AL53" s="20">
        <v>0.169</v>
      </c>
      <c r="AM53" s="20"/>
      <c r="AN53" s="20">
        <v>0.15</v>
      </c>
      <c r="AO53" s="20">
        <v>0.141</v>
      </c>
      <c r="AP53" s="20"/>
    </row>
    <row r="54" spans="25:42" ht="14.25" customHeight="1">
      <c r="Y54" s="201">
        <f t="shared" si="1"/>
        <v>0.0655</v>
      </c>
      <c r="Z54" s="76">
        <v>0.09</v>
      </c>
      <c r="AA54" s="201">
        <f t="shared" si="2"/>
        <v>0.11549999999999999</v>
      </c>
      <c r="AB54" s="201">
        <f t="shared" si="3"/>
        <v>0.14</v>
      </c>
      <c r="AC54" s="12"/>
      <c r="AD54" s="12"/>
      <c r="AE54" s="20">
        <v>0.42</v>
      </c>
      <c r="AF54" s="20">
        <v>0.38</v>
      </c>
      <c r="AG54" s="23"/>
      <c r="AH54" s="76">
        <v>0.26</v>
      </c>
      <c r="AI54" s="20">
        <v>0.27</v>
      </c>
      <c r="AJ54" s="23"/>
      <c r="AK54" s="20">
        <v>0.198</v>
      </c>
      <c r="AL54" s="20">
        <v>0.199</v>
      </c>
      <c r="AM54" s="20"/>
      <c r="AN54" s="20">
        <v>0.16</v>
      </c>
      <c r="AO54" s="20">
        <v>0.1585</v>
      </c>
      <c r="AP54" s="20"/>
    </row>
    <row r="55" spans="24:42" ht="14.25" customHeight="1">
      <c r="X55" s="39"/>
      <c r="Y55" s="201">
        <f t="shared" si="1"/>
        <v>0.07300000000000001</v>
      </c>
      <c r="Z55" s="76">
        <v>0.1</v>
      </c>
      <c r="AA55" s="201">
        <f t="shared" si="2"/>
        <v>0.128</v>
      </c>
      <c r="AB55" s="201">
        <f t="shared" si="3"/>
        <v>0.15500000000000003</v>
      </c>
      <c r="AE55" s="20">
        <f>1-SUM(AE53:AE54)</f>
        <v>0.21999999999999997</v>
      </c>
      <c r="AF55" s="20">
        <f>1-SUM(AF53:AF54)</f>
        <v>0.29000000000000004</v>
      </c>
      <c r="AG55" s="5"/>
      <c r="AH55" s="76">
        <v>0.29</v>
      </c>
      <c r="AI55" s="20">
        <v>0.33</v>
      </c>
      <c r="AJ55" s="5"/>
      <c r="AK55" s="20">
        <v>0.214</v>
      </c>
      <c r="AL55" s="20">
        <v>0.229</v>
      </c>
      <c r="AM55" s="20"/>
      <c r="AN55" s="20">
        <v>0.17</v>
      </c>
      <c r="AO55" s="20">
        <v>0.176</v>
      </c>
      <c r="AP55" s="20"/>
    </row>
    <row r="56" spans="25:42" ht="14.25" customHeight="1">
      <c r="Y56" s="201">
        <f t="shared" si="1"/>
        <v>0.0805</v>
      </c>
      <c r="Z56" s="76">
        <v>0.11</v>
      </c>
      <c r="AA56" s="201">
        <f t="shared" si="2"/>
        <v>0.1405</v>
      </c>
      <c r="AB56" s="201">
        <f t="shared" si="3"/>
        <v>0.17</v>
      </c>
      <c r="AE56" s="15"/>
      <c r="AF56" s="15"/>
      <c r="AG56" s="5"/>
      <c r="AH56" s="76">
        <f>1-SUM(AH53:AH55)</f>
        <v>0.21999999999999997</v>
      </c>
      <c r="AI56" s="20">
        <f>1-SUM(AI53:AI55)</f>
        <v>0.17999999999999994</v>
      </c>
      <c r="AJ56" s="5"/>
      <c r="AK56" s="20">
        <v>0.231</v>
      </c>
      <c r="AL56" s="20">
        <v>0.261</v>
      </c>
      <c r="AM56" s="20"/>
      <c r="AN56" s="20">
        <v>0.181</v>
      </c>
      <c r="AO56" s="20">
        <v>0.1935</v>
      </c>
      <c r="AP56" s="20"/>
    </row>
    <row r="57" spans="25:42" ht="14.25" customHeight="1">
      <c r="Y57" s="201">
        <f t="shared" si="1"/>
        <v>0.088</v>
      </c>
      <c r="Z57" s="76">
        <v>0.12</v>
      </c>
      <c r="AA57" s="201">
        <f t="shared" si="2"/>
        <v>0.153</v>
      </c>
      <c r="AB57" s="201">
        <f t="shared" si="3"/>
        <v>0.185</v>
      </c>
      <c r="AE57" s="5"/>
      <c r="AF57" s="5"/>
      <c r="AG57" s="5"/>
      <c r="AH57" s="15"/>
      <c r="AI57" s="15"/>
      <c r="AJ57" s="50"/>
      <c r="AK57" s="76">
        <f>1-SUM(AK53:AK56)</f>
        <v>0.17500000000000004</v>
      </c>
      <c r="AL57" s="76">
        <f>1-SUM(AL53:AL56)</f>
        <v>0.14200000000000002</v>
      </c>
      <c r="AM57" s="20"/>
      <c r="AN57" s="20">
        <v>0.192</v>
      </c>
      <c r="AO57" s="20">
        <v>0.211</v>
      </c>
      <c r="AP57" s="198"/>
    </row>
    <row r="58" spans="31:41" ht="14.25" customHeight="1">
      <c r="AE58" s="17"/>
      <c r="AF58" s="17"/>
      <c r="AG58" s="17"/>
      <c r="AH58" s="17"/>
      <c r="AI58" s="17"/>
      <c r="AJ58" s="17"/>
      <c r="AK58" s="15">
        <f>SUM(AK53:AK57)</f>
        <v>1</v>
      </c>
      <c r="AL58" s="15">
        <f>SUM(AL53:AL57)</f>
        <v>1</v>
      </c>
      <c r="AM58" s="20"/>
      <c r="AN58" s="76">
        <f>1-SUM(AN53:AN57)</f>
        <v>0.14700000000000002</v>
      </c>
      <c r="AO58" s="76">
        <f>1-SUM(AO53:AO57)</f>
        <v>0.12</v>
      </c>
    </row>
    <row r="59" spans="31:41" ht="14.25" customHeight="1">
      <c r="AE59" s="5"/>
      <c r="AF59" s="20"/>
      <c r="AG59" s="5"/>
      <c r="AH59" s="5"/>
      <c r="AI59" s="5"/>
      <c r="AJ59" s="5"/>
      <c r="AK59" s="5"/>
      <c r="AL59" s="5"/>
      <c r="AM59" s="5"/>
      <c r="AN59" s="15">
        <f>SUM(AN53:AN58)</f>
        <v>1</v>
      </c>
      <c r="AO59" s="15">
        <f>SUM(AO53:AO58)</f>
        <v>1</v>
      </c>
    </row>
    <row r="60" ht="14.25" customHeight="1"/>
    <row r="61" ht="14.25" customHeight="1"/>
    <row r="62" ht="12.75">
      <c r="AC62" s="44"/>
    </row>
    <row r="63" ht="12.75">
      <c r="AC63" s="44"/>
    </row>
    <row r="64" spans="26:29" ht="12.75">
      <c r="Z64" s="140"/>
      <c r="AA64" s="139"/>
      <c r="AB64" s="44"/>
      <c r="AC64" s="44"/>
    </row>
    <row r="65" spans="26:29" ht="12.75">
      <c r="Z65" s="140"/>
      <c r="AA65" s="139"/>
      <c r="AB65" s="44"/>
      <c r="AC65" s="44"/>
    </row>
    <row r="66" spans="26:29" ht="12.75">
      <c r="Z66" s="140"/>
      <c r="AA66" s="139"/>
      <c r="AB66" s="44"/>
      <c r="AC66" s="44"/>
    </row>
    <row r="67" spans="26:29" ht="12.75">
      <c r="Z67" s="140"/>
      <c r="AA67" s="139"/>
      <c r="AB67" s="44"/>
      <c r="AC67" s="44"/>
    </row>
    <row r="68" spans="26:29" ht="12.75">
      <c r="Z68" s="140"/>
      <c r="AA68" s="139"/>
      <c r="AB68" s="44"/>
      <c r="AC68" s="44"/>
    </row>
    <row r="69" spans="26:29" ht="12.75">
      <c r="Z69" s="140"/>
      <c r="AA69" s="139"/>
      <c r="AB69" s="44"/>
      <c r="AC69" s="44"/>
    </row>
    <row r="70" spans="26:29" ht="12.75">
      <c r="Z70" s="140"/>
      <c r="AA70" s="139"/>
      <c r="AB70" s="44"/>
      <c r="AC70" s="44"/>
    </row>
    <row r="71" spans="26:29" ht="12.75">
      <c r="Z71" s="140"/>
      <c r="AA71" s="139"/>
      <c r="AB71" s="44"/>
      <c r="AC71" s="44"/>
    </row>
    <row r="72" spans="26:29" ht="12.75">
      <c r="Z72" s="140"/>
      <c r="AA72" s="139"/>
      <c r="AB72" s="44"/>
      <c r="AC72" s="44"/>
    </row>
    <row r="73" spans="26:29" ht="12.75">
      <c r="Z73" s="140"/>
      <c r="AA73" s="139"/>
      <c r="AB73" s="44"/>
      <c r="AC73" s="44"/>
    </row>
    <row r="74" spans="26:29" ht="12.75">
      <c r="Z74" s="140"/>
      <c r="AA74" s="139"/>
      <c r="AB74" s="44"/>
      <c r="AC74" s="44"/>
    </row>
    <row r="75" spans="26:29" ht="12.75">
      <c r="Z75" s="140"/>
      <c r="AA75" s="139"/>
      <c r="AB75" s="44"/>
      <c r="AC75" s="44"/>
    </row>
    <row r="76" spans="26:29" ht="12.75">
      <c r="Z76" s="140"/>
      <c r="AA76" s="139"/>
      <c r="AB76" s="44"/>
      <c r="AC76" s="44"/>
    </row>
    <row r="77" spans="26:29" ht="12.75">
      <c r="Z77" s="140"/>
      <c r="AA77" s="139"/>
      <c r="AB77" s="44"/>
      <c r="AC77" s="44"/>
    </row>
  </sheetData>
  <mergeCells count="7">
    <mergeCell ref="T34:U35"/>
    <mergeCell ref="V36:W36"/>
    <mergeCell ref="V37:W37"/>
    <mergeCell ref="Y41:AO41"/>
    <mergeCell ref="V38:W38"/>
    <mergeCell ref="V39:W39"/>
    <mergeCell ref="V34:W35"/>
  </mergeCells>
  <printOptions horizontalCentered="1" verticalCentered="1"/>
  <pageMargins left="0.5" right="0.5" top="0.5" bottom="0.5" header="0.5" footer="0.5"/>
  <pageSetup fitToWidth="2" horizontalDpi="300" verticalDpi="300" orientation="portrait" scale="75" r:id="rId1"/>
  <rowBreaks count="1" manualBreakCount="1">
    <brk id="60" max="41" man="1"/>
  </rowBreaks>
  <colBreaks count="1" manualBreakCount="1">
    <brk id="24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76"/>
  <sheetViews>
    <sheetView zoomScale="120" zoomScaleNormal="120" zoomScaleSheetLayoutView="115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4.8515625" style="5" customWidth="1"/>
    <col min="3" max="4" width="4.00390625" style="4" customWidth="1"/>
    <col min="5" max="5" width="7.00390625" style="123" customWidth="1"/>
    <col min="6" max="6" width="7.00390625" style="5" bestFit="1" customWidth="1"/>
    <col min="7" max="7" width="4.421875" style="5" bestFit="1" customWidth="1"/>
    <col min="8" max="8" width="4.7109375" style="5" customWidth="1"/>
    <col min="9" max="9" width="6.421875" style="5" customWidth="1"/>
    <col min="10" max="10" width="4.00390625" style="5" bestFit="1" customWidth="1"/>
    <col min="11" max="12" width="6.7109375" style="5" customWidth="1"/>
    <col min="13" max="13" width="5.57421875" style="5" customWidth="1"/>
    <col min="14" max="14" width="5.57421875" style="2" customWidth="1"/>
    <col min="15" max="15" width="5.421875" style="2" customWidth="1"/>
    <col min="16" max="16" width="5.28125" style="2" customWidth="1"/>
    <col min="17" max="20" width="5.57421875" style="2" customWidth="1"/>
    <col min="21" max="21" width="7.140625" style="2" customWidth="1"/>
    <col min="22" max="22" width="4.421875" style="5" customWidth="1"/>
    <col min="23" max="23" width="5.140625" style="110" customWidth="1"/>
    <col min="24" max="24" width="7.28125" style="110" customWidth="1"/>
    <col min="25" max="26" width="3.7109375" style="5" customWidth="1"/>
    <col min="27" max="27" width="80.7109375" style="4" customWidth="1"/>
    <col min="28" max="16384" width="9.140625" style="25" customWidth="1"/>
  </cols>
  <sheetData>
    <row r="1" spans="5:27" s="109" customFormat="1" ht="15" customHeight="1" thickBot="1">
      <c r="E1" s="122"/>
      <c r="W1" s="114"/>
      <c r="X1" s="114"/>
      <c r="AA1" s="119"/>
    </row>
    <row r="2" spans="1:27" ht="15.75" customHeight="1" thickBot="1">
      <c r="A2" s="154" t="s">
        <v>44</v>
      </c>
      <c r="B2" s="155">
        <v>1</v>
      </c>
      <c r="C2" s="156" t="s">
        <v>104</v>
      </c>
      <c r="D2" s="157"/>
      <c r="E2" s="252">
        <v>38361</v>
      </c>
      <c r="F2" s="158"/>
      <c r="G2" s="158"/>
      <c r="H2" s="158"/>
      <c r="I2" s="158"/>
      <c r="J2" s="158"/>
      <c r="K2" s="144"/>
      <c r="L2" s="144"/>
      <c r="M2" s="159" t="s">
        <v>103</v>
      </c>
      <c r="N2" s="159"/>
      <c r="O2" s="159"/>
      <c r="P2" s="159"/>
      <c r="Q2" s="159"/>
      <c r="R2" s="159"/>
      <c r="S2" s="159"/>
      <c r="T2" s="159"/>
      <c r="U2" s="159"/>
      <c r="V2" s="158"/>
      <c r="W2" s="160"/>
      <c r="X2" s="160"/>
      <c r="Y2" s="158"/>
      <c r="Z2" s="158"/>
      <c r="AA2" s="161"/>
    </row>
    <row r="3" spans="1:27" ht="12.75">
      <c r="A3" s="230" t="s">
        <v>126</v>
      </c>
      <c r="B3" s="43"/>
      <c r="C3" s="33"/>
      <c r="D3" s="33"/>
      <c r="E3" s="162"/>
      <c r="F3" s="27"/>
      <c r="G3" s="27"/>
      <c r="H3" s="27"/>
      <c r="I3" s="209"/>
      <c r="J3" s="27"/>
      <c r="K3" s="27"/>
      <c r="L3" s="27"/>
      <c r="M3" s="27"/>
      <c r="N3" s="42"/>
      <c r="O3" s="43" t="s">
        <v>118</v>
      </c>
      <c r="P3" s="43"/>
      <c r="Q3" s="43"/>
      <c r="R3" s="43"/>
      <c r="S3" s="43"/>
      <c r="T3" s="43"/>
      <c r="U3" s="43"/>
      <c r="V3" s="27"/>
      <c r="W3" s="163"/>
      <c r="X3" s="163"/>
      <c r="Y3" s="27"/>
      <c r="Z3" s="27"/>
      <c r="AA3" s="164"/>
    </row>
    <row r="4" spans="1:27" s="127" customFormat="1" ht="16.5" thickBot="1">
      <c r="A4" s="165" t="s">
        <v>106</v>
      </c>
      <c r="B4" s="100" t="s">
        <v>107</v>
      </c>
      <c r="C4" s="100" t="s">
        <v>108</v>
      </c>
      <c r="D4" s="100" t="s">
        <v>109</v>
      </c>
      <c r="E4" s="126" t="s">
        <v>124</v>
      </c>
      <c r="F4" s="100" t="s">
        <v>125</v>
      </c>
      <c r="G4" s="100" t="s">
        <v>110</v>
      </c>
      <c r="H4" s="100" t="s">
        <v>111</v>
      </c>
      <c r="I4" s="100" t="s">
        <v>112</v>
      </c>
      <c r="J4" s="100" t="s">
        <v>113</v>
      </c>
      <c r="K4" s="100" t="s">
        <v>114</v>
      </c>
      <c r="L4" s="100" t="s">
        <v>115</v>
      </c>
      <c r="M4" s="100" t="s">
        <v>116</v>
      </c>
      <c r="N4" s="100" t="s">
        <v>117</v>
      </c>
      <c r="O4" s="100" t="s">
        <v>5</v>
      </c>
      <c r="P4" s="100" t="s">
        <v>1</v>
      </c>
      <c r="Q4" s="100" t="s">
        <v>2</v>
      </c>
      <c r="R4" s="100" t="s">
        <v>3</v>
      </c>
      <c r="S4" s="100" t="s">
        <v>7</v>
      </c>
      <c r="T4" s="100" t="s">
        <v>8</v>
      </c>
      <c r="U4" s="100" t="s">
        <v>40</v>
      </c>
      <c r="V4" s="100" t="s">
        <v>119</v>
      </c>
      <c r="W4" s="118" t="s">
        <v>120</v>
      </c>
      <c r="X4" s="118" t="s">
        <v>121</v>
      </c>
      <c r="Y4" s="100" t="s">
        <v>122</v>
      </c>
      <c r="Z4" s="100" t="s">
        <v>6</v>
      </c>
      <c r="AA4" s="153" t="s">
        <v>123</v>
      </c>
    </row>
    <row r="5" spans="1:27" s="81" customFormat="1" ht="12.75" customHeight="1" thickBot="1">
      <c r="A5" s="166" t="s">
        <v>105</v>
      </c>
      <c r="B5" s="208">
        <v>4</v>
      </c>
      <c r="C5" s="104"/>
      <c r="D5" s="104"/>
      <c r="E5" s="124"/>
      <c r="F5" s="105"/>
      <c r="G5" s="227">
        <v>0.3333333333333333</v>
      </c>
      <c r="H5" s="66">
        <v>150</v>
      </c>
      <c r="I5" s="105"/>
      <c r="J5" s="105"/>
      <c r="K5" s="105"/>
      <c r="L5" s="105"/>
      <c r="M5" s="106"/>
      <c r="N5" s="207">
        <v>0.375</v>
      </c>
      <c r="O5" s="227">
        <f aca="true" t="shared" si="0" ref="O5:U5">$N5*O6</f>
        <v>0</v>
      </c>
      <c r="P5" s="228">
        <f t="shared" si="0"/>
        <v>0.30000000000000004</v>
      </c>
      <c r="Q5" s="227">
        <f t="shared" si="0"/>
        <v>0.037500000000000006</v>
      </c>
      <c r="R5" s="227">
        <f t="shared" si="0"/>
        <v>0.026250000000000002</v>
      </c>
      <c r="S5" s="227">
        <f t="shared" si="0"/>
        <v>0.0075</v>
      </c>
      <c r="T5" s="227">
        <f t="shared" si="0"/>
        <v>0.00375</v>
      </c>
      <c r="U5" s="227">
        <f t="shared" si="0"/>
        <v>0</v>
      </c>
      <c r="V5" s="105"/>
      <c r="W5" s="115"/>
      <c r="X5" s="115"/>
      <c r="Y5" s="105"/>
      <c r="Z5" s="105"/>
      <c r="AA5" s="167"/>
    </row>
    <row r="6" spans="1:27" s="81" customFormat="1" ht="12.75" customHeight="1" thickBot="1">
      <c r="A6" s="168"/>
      <c r="B6" s="107"/>
      <c r="C6" s="107"/>
      <c r="D6" s="107"/>
      <c r="E6" s="125"/>
      <c r="F6" s="108"/>
      <c r="G6" s="108"/>
      <c r="H6" s="108"/>
      <c r="I6" s="108"/>
      <c r="J6" s="108"/>
      <c r="K6" s="108"/>
      <c r="L6" s="108"/>
      <c r="M6" s="108"/>
      <c r="N6" s="108"/>
      <c r="O6" s="210">
        <v>0</v>
      </c>
      <c r="P6" s="136">
        <f>1-(SUM(Q6:U6)+O6)</f>
        <v>0.8</v>
      </c>
      <c r="Q6" s="210">
        <v>0.1</v>
      </c>
      <c r="R6" s="210">
        <v>0.07</v>
      </c>
      <c r="S6" s="210">
        <v>0.02</v>
      </c>
      <c r="T6" s="210">
        <v>0.01</v>
      </c>
      <c r="U6" s="210">
        <v>0</v>
      </c>
      <c r="V6" s="108"/>
      <c r="W6" s="116"/>
      <c r="X6" s="116"/>
      <c r="Y6" s="108"/>
      <c r="Z6" s="108"/>
      <c r="AA6" s="169"/>
    </row>
    <row r="7" spans="1:27" s="113" customFormat="1" ht="15.75" customHeight="1">
      <c r="A7" s="170">
        <v>1</v>
      </c>
      <c r="B7" s="97">
        <v>1</v>
      </c>
      <c r="C7" s="98"/>
      <c r="D7" s="98"/>
      <c r="E7" s="255"/>
      <c r="F7" s="255"/>
      <c r="G7" s="255"/>
      <c r="H7" s="99"/>
      <c r="I7" s="96"/>
      <c r="J7" s="96"/>
      <c r="K7" s="255"/>
      <c r="L7" s="255">
        <f>K7+M7</f>
        <v>0</v>
      </c>
      <c r="M7" s="255"/>
      <c r="N7" s="255"/>
      <c r="O7" s="255"/>
      <c r="P7" s="255"/>
      <c r="Q7" s="255"/>
      <c r="R7" s="255"/>
      <c r="S7" s="255"/>
      <c r="T7" s="255"/>
      <c r="U7" s="96"/>
      <c r="V7" s="99"/>
      <c r="W7" s="117"/>
      <c r="X7" s="117" t="e">
        <f>(W7/N7/24)</f>
        <v>#DIV/0!</v>
      </c>
      <c r="Y7" s="99"/>
      <c r="Z7" s="99">
        <f>(N7*24*Y7*3.44)</f>
        <v>0</v>
      </c>
      <c r="AA7" s="174"/>
    </row>
    <row r="8" spans="1:27" s="109" customFormat="1" ht="15.75" customHeight="1">
      <c r="A8" s="170">
        <f>A7+1</f>
        <v>2</v>
      </c>
      <c r="B8" s="97">
        <v>2</v>
      </c>
      <c r="C8" s="98"/>
      <c r="D8" s="98"/>
      <c r="E8" s="255"/>
      <c r="F8" s="255"/>
      <c r="G8" s="255"/>
      <c r="H8" s="97"/>
      <c r="I8" s="97"/>
      <c r="J8" s="96"/>
      <c r="K8" s="255"/>
      <c r="L8" s="255">
        <f>K8+M8</f>
        <v>0</v>
      </c>
      <c r="M8" s="255"/>
      <c r="N8" s="255"/>
      <c r="O8" s="255"/>
      <c r="P8" s="255"/>
      <c r="Q8" s="255"/>
      <c r="R8" s="255"/>
      <c r="S8" s="255"/>
      <c r="T8" s="255"/>
      <c r="U8" s="96"/>
      <c r="V8" s="97"/>
      <c r="W8" s="117"/>
      <c r="X8" s="117" t="e">
        <f>(W8/N8/24)</f>
        <v>#DIV/0!</v>
      </c>
      <c r="Y8" s="99"/>
      <c r="Z8" s="99">
        <f>(N8*24*Y8*3.44)</f>
        <v>0</v>
      </c>
      <c r="AA8" s="171"/>
    </row>
    <row r="9" spans="1:27" s="109" customFormat="1" ht="15.75" customHeight="1">
      <c r="A9" s="170">
        <f>A8+1</f>
        <v>3</v>
      </c>
      <c r="B9" s="97">
        <v>3</v>
      </c>
      <c r="C9" s="128"/>
      <c r="D9" s="128"/>
      <c r="E9" s="256"/>
      <c r="F9" s="256"/>
      <c r="G9" s="256"/>
      <c r="H9" s="132"/>
      <c r="I9" s="132"/>
      <c r="J9" s="96"/>
      <c r="K9" s="256"/>
      <c r="L9" s="256">
        <f>K9+M9</f>
        <v>0</v>
      </c>
      <c r="M9" s="256"/>
      <c r="N9" s="256"/>
      <c r="O9" s="256"/>
      <c r="P9" s="256"/>
      <c r="Q9" s="256"/>
      <c r="R9" s="256"/>
      <c r="S9" s="256"/>
      <c r="T9" s="256"/>
      <c r="U9" s="131"/>
      <c r="V9" s="132"/>
      <c r="W9" s="133"/>
      <c r="X9" s="133" t="e">
        <f>(W9/N9/24)</f>
        <v>#DIV/0!</v>
      </c>
      <c r="Y9" s="134"/>
      <c r="Z9" s="99">
        <f>(N9*24*Y9*3.44)</f>
        <v>0</v>
      </c>
      <c r="AA9" s="175"/>
    </row>
    <row r="10" spans="1:27" s="109" customFormat="1" ht="15.75" customHeight="1" thickBot="1">
      <c r="A10" s="170">
        <f>A9+1</f>
        <v>4</v>
      </c>
      <c r="B10" s="97">
        <v>4</v>
      </c>
      <c r="C10" s="101"/>
      <c r="D10" s="101"/>
      <c r="E10" s="226"/>
      <c r="F10" s="226"/>
      <c r="G10" s="226"/>
      <c r="H10" s="100"/>
      <c r="I10" s="100"/>
      <c r="J10" s="130"/>
      <c r="K10" s="226"/>
      <c r="L10" s="229">
        <f>K10+M10</f>
        <v>0</v>
      </c>
      <c r="M10" s="226"/>
      <c r="N10" s="226"/>
      <c r="O10" s="226"/>
      <c r="P10" s="226"/>
      <c r="Q10" s="226"/>
      <c r="R10" s="226"/>
      <c r="S10" s="226"/>
      <c r="T10" s="226"/>
      <c r="U10" s="103"/>
      <c r="V10" s="100"/>
      <c r="W10" s="118"/>
      <c r="X10" s="118" t="e">
        <f>(W10/N10/24)</f>
        <v>#DIV/0!</v>
      </c>
      <c r="Y10" s="102"/>
      <c r="Z10" s="102">
        <f>(N10*24*Y10*3.44)</f>
        <v>0</v>
      </c>
      <c r="AA10" s="153"/>
    </row>
    <row r="11" spans="1:27" s="109" customFormat="1" ht="15.75" customHeight="1">
      <c r="A11" s="148" t="s">
        <v>129</v>
      </c>
      <c r="B11" s="149"/>
      <c r="C11" s="149"/>
      <c r="D11" s="149"/>
      <c r="E11" s="254">
        <f>SUM(E7:E10)/B10</f>
        <v>0</v>
      </c>
      <c r="F11" s="254">
        <f>SUM(F7:F10)/B10</f>
        <v>0</v>
      </c>
      <c r="G11" s="254">
        <f>SUM(G7:G10)/B10</f>
        <v>0</v>
      </c>
      <c r="H11" s="141">
        <f>SUM(H7:H10)/B10</f>
        <v>0</v>
      </c>
      <c r="I11" s="150">
        <f>SUM(I7:I10)/B10</f>
        <v>0</v>
      </c>
      <c r="J11" s="149"/>
      <c r="K11" s="254">
        <f>SUM(K7:K10)/B10</f>
        <v>0</v>
      </c>
      <c r="L11" s="254">
        <f>SUM(L7:L10)/B10</f>
        <v>0</v>
      </c>
      <c r="M11" s="254">
        <f>SUM(M7:M10)</f>
        <v>0</v>
      </c>
      <c r="N11" s="254">
        <f>SUM(N7:N10)</f>
        <v>0</v>
      </c>
      <c r="O11" s="254">
        <f>O5-SUM(O7:O10)</f>
        <v>0</v>
      </c>
      <c r="P11" s="254">
        <f>P5-SUM(P7:P10)</f>
        <v>0.30000000000000004</v>
      </c>
      <c r="Q11" s="254">
        <f>Q5-SUM(Q7:Q10)</f>
        <v>0.037500000000000006</v>
      </c>
      <c r="R11" s="254">
        <f>R5-SUM(R7:R10)</f>
        <v>0.026250000000000002</v>
      </c>
      <c r="S11" s="254">
        <f>S5-SUM(S7:S10)</f>
        <v>0.0075</v>
      </c>
      <c r="T11" s="254">
        <f>T5-SUM(T7:T10)</f>
        <v>0.00375</v>
      </c>
      <c r="U11" s="254">
        <f>U5-SUM(U7:U10)</f>
        <v>0</v>
      </c>
      <c r="V11" s="143" t="e">
        <f>(M7*V7+M8*V8+#REF!*#REF!+#REF!*#REF!+#REF!*#REF!+M9*V9+M10*V10)/M11</f>
        <v>#REF!</v>
      </c>
      <c r="W11" s="142">
        <f>SUM(W7:W10)</f>
        <v>0</v>
      </c>
      <c r="X11" s="142" t="e">
        <f>(W11/N11/24)</f>
        <v>#DIV/0!</v>
      </c>
      <c r="Y11" s="143" t="e">
        <f>(Y7*N7+Y8*N8+#REF!*#REF!+#REF!*#REF!+#REF!*#REF!+Y9*N9+Y10*N10)/N11</f>
        <v>#REF!</v>
      </c>
      <c r="Z11" s="141">
        <f>SUM(Z7:Z10)</f>
        <v>0</v>
      </c>
      <c r="AA11" s="151"/>
    </row>
    <row r="12" spans="1:27" s="109" customFormat="1" ht="15.75" customHeight="1" thickBot="1">
      <c r="A12" s="152" t="s">
        <v>9</v>
      </c>
      <c r="B12" s="112">
        <f>B10-B5</f>
        <v>0</v>
      </c>
      <c r="C12" s="108"/>
      <c r="D12" s="108"/>
      <c r="E12" s="125"/>
      <c r="F12" s="108"/>
      <c r="G12" s="226">
        <f>G5-G11</f>
        <v>0.3333333333333333</v>
      </c>
      <c r="H12" s="129">
        <f>H5-H11</f>
        <v>150</v>
      </c>
      <c r="I12" s="108"/>
      <c r="J12" s="108"/>
      <c r="K12" s="108"/>
      <c r="L12" s="108"/>
      <c r="M12" s="108"/>
      <c r="N12" s="108"/>
      <c r="O12" s="196" t="e">
        <f>SUM(O7:O10)/N11</f>
        <v>#DIV/0!</v>
      </c>
      <c r="P12" s="196" t="e">
        <f>SUM(P7:P10)/N11</f>
        <v>#DIV/0!</v>
      </c>
      <c r="Q12" s="196" t="e">
        <f>SUM(Q7:Q10)/N11</f>
        <v>#DIV/0!</v>
      </c>
      <c r="R12" s="196" t="e">
        <f>SUM(R7:R10)/N11</f>
        <v>#DIV/0!</v>
      </c>
      <c r="S12" s="196" t="e">
        <f>SUM(S7:S10)/N11</f>
        <v>#DIV/0!</v>
      </c>
      <c r="T12" s="196" t="e">
        <f>SUM(T7:T10)/N11</f>
        <v>#DIV/0!</v>
      </c>
      <c r="U12" s="196" t="e">
        <f>SUM(U7:U10)/N11</f>
        <v>#DIV/0!</v>
      </c>
      <c r="V12" s="108"/>
      <c r="W12" s="108"/>
      <c r="X12" s="108"/>
      <c r="Y12" s="108"/>
      <c r="Z12" s="108"/>
      <c r="AA12" s="153"/>
    </row>
    <row r="13" spans="5:27" s="109" customFormat="1" ht="15" customHeight="1" thickBot="1">
      <c r="E13" s="122"/>
      <c r="W13" s="114"/>
      <c r="X13" s="114"/>
      <c r="AA13" s="119"/>
    </row>
    <row r="14" spans="1:27" ht="15.75" customHeight="1" thickBot="1">
      <c r="A14" s="154" t="s">
        <v>44</v>
      </c>
      <c r="B14" s="155">
        <f>B2+1</f>
        <v>2</v>
      </c>
      <c r="C14" s="156" t="s">
        <v>104</v>
      </c>
      <c r="D14" s="157"/>
      <c r="E14" s="253">
        <f>E2+7</f>
        <v>38368</v>
      </c>
      <c r="F14" s="158"/>
      <c r="G14" s="158"/>
      <c r="H14" s="158"/>
      <c r="I14" s="158"/>
      <c r="J14" s="158"/>
      <c r="K14" s="144"/>
      <c r="L14" s="144"/>
      <c r="M14" s="159" t="s">
        <v>103</v>
      </c>
      <c r="N14" s="159"/>
      <c r="O14" s="159"/>
      <c r="P14" s="159"/>
      <c r="Q14" s="159"/>
      <c r="R14" s="159"/>
      <c r="S14" s="159"/>
      <c r="T14" s="159"/>
      <c r="U14" s="159"/>
      <c r="V14" s="158"/>
      <c r="W14" s="160"/>
      <c r="X14" s="160"/>
      <c r="Y14" s="158"/>
      <c r="Z14" s="158"/>
      <c r="AA14" s="161"/>
    </row>
    <row r="15" spans="1:27" ht="12.75">
      <c r="A15" s="230" t="s">
        <v>126</v>
      </c>
      <c r="B15" s="43"/>
      <c r="C15" s="33"/>
      <c r="D15" s="33"/>
      <c r="E15" s="162"/>
      <c r="F15" s="27"/>
      <c r="G15" s="27"/>
      <c r="H15" s="27"/>
      <c r="I15" s="27"/>
      <c r="J15" s="27"/>
      <c r="K15" s="27"/>
      <c r="L15" s="27"/>
      <c r="M15" s="27"/>
      <c r="N15" s="42"/>
      <c r="O15" s="43" t="s">
        <v>118</v>
      </c>
      <c r="P15" s="43"/>
      <c r="Q15" s="43"/>
      <c r="R15" s="43"/>
      <c r="S15" s="43"/>
      <c r="T15" s="43"/>
      <c r="U15" s="43"/>
      <c r="V15" s="27"/>
      <c r="W15" s="163"/>
      <c r="X15" s="163"/>
      <c r="Y15" s="27"/>
      <c r="Z15" s="27"/>
      <c r="AA15" s="164"/>
    </row>
    <row r="16" spans="1:27" s="127" customFormat="1" ht="16.5" thickBot="1">
      <c r="A16" s="165" t="s">
        <v>106</v>
      </c>
      <c r="B16" s="100" t="s">
        <v>107</v>
      </c>
      <c r="C16" s="100" t="s">
        <v>108</v>
      </c>
      <c r="D16" s="100" t="s">
        <v>109</v>
      </c>
      <c r="E16" s="126" t="s">
        <v>124</v>
      </c>
      <c r="F16" s="100" t="s">
        <v>125</v>
      </c>
      <c r="G16" s="100" t="s">
        <v>110</v>
      </c>
      <c r="H16" s="100" t="s">
        <v>111</v>
      </c>
      <c r="I16" s="100" t="s">
        <v>112</v>
      </c>
      <c r="J16" s="100" t="s">
        <v>113</v>
      </c>
      <c r="K16" s="100" t="s">
        <v>114</v>
      </c>
      <c r="L16" s="100" t="s">
        <v>115</v>
      </c>
      <c r="M16" s="100" t="s">
        <v>116</v>
      </c>
      <c r="N16" s="100" t="s">
        <v>117</v>
      </c>
      <c r="O16" s="100" t="s">
        <v>5</v>
      </c>
      <c r="P16" s="100" t="s">
        <v>1</v>
      </c>
      <c r="Q16" s="100" t="s">
        <v>2</v>
      </c>
      <c r="R16" s="100" t="s">
        <v>3</v>
      </c>
      <c r="S16" s="100" t="s">
        <v>7</v>
      </c>
      <c r="T16" s="100" t="s">
        <v>8</v>
      </c>
      <c r="U16" s="100" t="s">
        <v>40</v>
      </c>
      <c r="V16" s="100" t="s">
        <v>119</v>
      </c>
      <c r="W16" s="118" t="s">
        <v>120</v>
      </c>
      <c r="X16" s="118" t="s">
        <v>121</v>
      </c>
      <c r="Y16" s="100" t="s">
        <v>122</v>
      </c>
      <c r="Z16" s="100" t="s">
        <v>6</v>
      </c>
      <c r="AA16" s="153" t="s">
        <v>123</v>
      </c>
    </row>
    <row r="17" spans="1:27" s="81" customFormat="1" ht="12.75" customHeight="1" thickBot="1">
      <c r="A17" s="166" t="s">
        <v>105</v>
      </c>
      <c r="B17" s="208">
        <v>5</v>
      </c>
      <c r="C17" s="104"/>
      <c r="D17" s="104"/>
      <c r="E17" s="124"/>
      <c r="F17" s="105"/>
      <c r="G17" s="227">
        <v>0.3333333333333333</v>
      </c>
      <c r="H17" s="66">
        <v>150</v>
      </c>
      <c r="I17" s="105"/>
      <c r="J17" s="105"/>
      <c r="K17" s="105"/>
      <c r="L17" s="105"/>
      <c r="M17" s="106"/>
      <c r="N17" s="207">
        <v>0.4</v>
      </c>
      <c r="O17" s="227">
        <f aca="true" t="shared" si="1" ref="O17:U17">$N17*O18</f>
        <v>0</v>
      </c>
      <c r="P17" s="228">
        <f t="shared" si="1"/>
        <v>0.31200000000000006</v>
      </c>
      <c r="Q17" s="227">
        <f t="shared" si="1"/>
        <v>0.04000000000000001</v>
      </c>
      <c r="R17" s="227">
        <f t="shared" si="1"/>
        <v>0.032</v>
      </c>
      <c r="S17" s="227">
        <f t="shared" si="1"/>
        <v>0.012</v>
      </c>
      <c r="T17" s="227">
        <f t="shared" si="1"/>
        <v>0.004</v>
      </c>
      <c r="U17" s="227">
        <f t="shared" si="1"/>
        <v>0</v>
      </c>
      <c r="V17" s="105"/>
      <c r="W17" s="115"/>
      <c r="X17" s="115"/>
      <c r="Y17" s="105"/>
      <c r="Z17" s="105"/>
      <c r="AA17" s="167"/>
    </row>
    <row r="18" spans="1:27" s="81" customFormat="1" ht="12.75" customHeight="1" thickBot="1">
      <c r="A18" s="168"/>
      <c r="B18" s="107"/>
      <c r="C18" s="107"/>
      <c r="D18" s="107"/>
      <c r="E18" s="125"/>
      <c r="F18" s="108"/>
      <c r="G18" s="108"/>
      <c r="H18" s="108"/>
      <c r="I18" s="108"/>
      <c r="J18" s="108"/>
      <c r="K18" s="108"/>
      <c r="L18" s="108"/>
      <c r="M18" s="108"/>
      <c r="N18" s="108"/>
      <c r="O18" s="210">
        <v>0</v>
      </c>
      <c r="P18" s="136">
        <f>1-(SUM(Q18:U18)+O18)</f>
        <v>0.78</v>
      </c>
      <c r="Q18" s="210">
        <v>0.1</v>
      </c>
      <c r="R18" s="210">
        <v>0.08</v>
      </c>
      <c r="S18" s="210">
        <v>0.03</v>
      </c>
      <c r="T18" s="210">
        <v>0.01</v>
      </c>
      <c r="U18" s="210">
        <v>0</v>
      </c>
      <c r="V18" s="108"/>
      <c r="W18" s="116"/>
      <c r="X18" s="116"/>
      <c r="Y18" s="108"/>
      <c r="Z18" s="108"/>
      <c r="AA18" s="169"/>
    </row>
    <row r="19" spans="1:27" s="113" customFormat="1" ht="15.75" customHeight="1">
      <c r="A19" s="170">
        <f>A10+1</f>
        <v>5</v>
      </c>
      <c r="B19" s="97">
        <v>1</v>
      </c>
      <c r="C19" s="98"/>
      <c r="D19" s="98"/>
      <c r="E19" s="255"/>
      <c r="F19" s="255"/>
      <c r="G19" s="255"/>
      <c r="H19" s="99"/>
      <c r="I19" s="96"/>
      <c r="J19" s="96"/>
      <c r="K19" s="255"/>
      <c r="L19" s="255">
        <f>K19+M19</f>
        <v>0</v>
      </c>
      <c r="M19" s="255"/>
      <c r="N19" s="255"/>
      <c r="O19" s="255"/>
      <c r="P19" s="255"/>
      <c r="Q19" s="255"/>
      <c r="R19" s="255"/>
      <c r="S19" s="255"/>
      <c r="T19" s="255"/>
      <c r="U19" s="96"/>
      <c r="V19" s="99"/>
      <c r="W19" s="117"/>
      <c r="X19" s="117" t="e">
        <f aca="true" t="shared" si="2" ref="X19:X24">(W19/N19/24)</f>
        <v>#DIV/0!</v>
      </c>
      <c r="Y19" s="99"/>
      <c r="Z19" s="99">
        <f>(N19*24*Y19*3.44)</f>
        <v>0</v>
      </c>
      <c r="AA19" s="174"/>
    </row>
    <row r="20" spans="1:27" s="113" customFormat="1" ht="15.75" customHeight="1">
      <c r="A20" s="170">
        <f>A19+1</f>
        <v>6</v>
      </c>
      <c r="B20" s="97">
        <v>2</v>
      </c>
      <c r="C20" s="98"/>
      <c r="D20" s="98"/>
      <c r="E20" s="255"/>
      <c r="F20" s="255"/>
      <c r="G20" s="255"/>
      <c r="H20" s="99"/>
      <c r="I20" s="96"/>
      <c r="J20" s="96"/>
      <c r="K20" s="255"/>
      <c r="L20" s="255">
        <f>K20+M20</f>
        <v>0</v>
      </c>
      <c r="M20" s="255"/>
      <c r="N20" s="255"/>
      <c r="O20" s="255"/>
      <c r="P20" s="255"/>
      <c r="Q20" s="255"/>
      <c r="R20" s="255"/>
      <c r="S20" s="255"/>
      <c r="T20" s="255"/>
      <c r="U20" s="96"/>
      <c r="V20" s="99"/>
      <c r="W20" s="117"/>
      <c r="X20" s="117" t="e">
        <f t="shared" si="2"/>
        <v>#DIV/0!</v>
      </c>
      <c r="Y20" s="99"/>
      <c r="Z20" s="99">
        <f>(N20*24*Y20*3.44)</f>
        <v>0</v>
      </c>
      <c r="AA20" s="174"/>
    </row>
    <row r="21" spans="1:27" s="113" customFormat="1" ht="15.75" customHeight="1">
      <c r="A21" s="170">
        <f>A20+1</f>
        <v>7</v>
      </c>
      <c r="B21" s="97">
        <v>3</v>
      </c>
      <c r="C21" s="98"/>
      <c r="D21" s="98"/>
      <c r="E21" s="255"/>
      <c r="F21" s="255"/>
      <c r="G21" s="255"/>
      <c r="H21" s="99"/>
      <c r="I21" s="96"/>
      <c r="J21" s="96"/>
      <c r="K21" s="255"/>
      <c r="L21" s="255">
        <f>K21+M21</f>
        <v>0</v>
      </c>
      <c r="M21" s="255"/>
      <c r="N21" s="255"/>
      <c r="O21" s="255"/>
      <c r="P21" s="255"/>
      <c r="Q21" s="255"/>
      <c r="R21" s="255"/>
      <c r="S21" s="255"/>
      <c r="T21" s="255"/>
      <c r="U21" s="96"/>
      <c r="V21" s="99"/>
      <c r="W21" s="117"/>
      <c r="X21" s="117" t="e">
        <f t="shared" si="2"/>
        <v>#DIV/0!</v>
      </c>
      <c r="Y21" s="99"/>
      <c r="Z21" s="99">
        <f>(N21*24*Y21*3.44)</f>
        <v>0</v>
      </c>
      <c r="AA21" s="174"/>
    </row>
    <row r="22" spans="1:27" s="113" customFormat="1" ht="15.75" customHeight="1">
      <c r="A22" s="170">
        <f>A21+1</f>
        <v>8</v>
      </c>
      <c r="B22" s="97">
        <v>4</v>
      </c>
      <c r="C22" s="98"/>
      <c r="D22" s="98"/>
      <c r="E22" s="255"/>
      <c r="F22" s="255"/>
      <c r="G22" s="255"/>
      <c r="H22" s="99"/>
      <c r="I22" s="96"/>
      <c r="J22" s="96"/>
      <c r="K22" s="255"/>
      <c r="L22" s="255">
        <f>K22+M22</f>
        <v>0</v>
      </c>
      <c r="M22" s="255"/>
      <c r="N22" s="255"/>
      <c r="O22" s="255"/>
      <c r="P22" s="255"/>
      <c r="Q22" s="255"/>
      <c r="R22" s="255"/>
      <c r="S22" s="255"/>
      <c r="T22" s="255"/>
      <c r="U22" s="96"/>
      <c r="V22" s="99"/>
      <c r="W22" s="117"/>
      <c r="X22" s="117" t="e">
        <f t="shared" si="2"/>
        <v>#DIV/0!</v>
      </c>
      <c r="Y22" s="99"/>
      <c r="Z22" s="99">
        <f>(N22*24*Y22*3.44)</f>
        <v>0</v>
      </c>
      <c r="AA22" s="174"/>
    </row>
    <row r="23" spans="1:27" s="113" customFormat="1" ht="15.75" customHeight="1" thickBot="1">
      <c r="A23" s="170">
        <f>A22+1</f>
        <v>9</v>
      </c>
      <c r="B23" s="97">
        <v>5</v>
      </c>
      <c r="C23" s="98"/>
      <c r="D23" s="98"/>
      <c r="E23" s="255"/>
      <c r="F23" s="255"/>
      <c r="G23" s="255"/>
      <c r="H23" s="99"/>
      <c r="I23" s="96"/>
      <c r="J23" s="96"/>
      <c r="K23" s="255"/>
      <c r="L23" s="255">
        <f>K23+M23</f>
        <v>0</v>
      </c>
      <c r="M23" s="255"/>
      <c r="N23" s="255"/>
      <c r="O23" s="255"/>
      <c r="P23" s="255"/>
      <c r="Q23" s="255"/>
      <c r="R23" s="255"/>
      <c r="S23" s="255"/>
      <c r="T23" s="255"/>
      <c r="U23" s="96"/>
      <c r="V23" s="99"/>
      <c r="W23" s="117"/>
      <c r="X23" s="117" t="e">
        <f t="shared" si="2"/>
        <v>#DIV/0!</v>
      </c>
      <c r="Y23" s="99"/>
      <c r="Z23" s="99">
        <f>(N23*24*Y23*3.44)</f>
        <v>0</v>
      </c>
      <c r="AA23" s="174"/>
    </row>
    <row r="24" spans="1:27" s="109" customFormat="1" ht="15.75" customHeight="1">
      <c r="A24" s="148" t="s">
        <v>129</v>
      </c>
      <c r="B24" s="149"/>
      <c r="C24" s="149"/>
      <c r="D24" s="149"/>
      <c r="E24" s="254">
        <f>SUM(E19:E23)/B23</f>
        <v>0</v>
      </c>
      <c r="F24" s="254">
        <f>SUM(F19:F23)/B23</f>
        <v>0</v>
      </c>
      <c r="G24" s="254">
        <f>SUM(G19:G23)/B23</f>
        <v>0</v>
      </c>
      <c r="H24" s="141">
        <f>SUM(H19:H23)/B23</f>
        <v>0</v>
      </c>
      <c r="I24" s="150">
        <f>SUM(I19:I23)/B23</f>
        <v>0</v>
      </c>
      <c r="J24" s="149"/>
      <c r="K24" s="254">
        <f>SUM(K19:K23)/B23</f>
        <v>0</v>
      </c>
      <c r="L24" s="254">
        <f>SUM(L19:L23)/B23</f>
        <v>0</v>
      </c>
      <c r="M24" s="254">
        <f>SUM(M19:M23)</f>
        <v>0</v>
      </c>
      <c r="N24" s="254">
        <f>SUM(N19:N23)</f>
        <v>0</v>
      </c>
      <c r="O24" s="254">
        <f>O17-SUM(O19:O23)</f>
        <v>0</v>
      </c>
      <c r="P24" s="254">
        <f>P17-SUM(P19:P23)</f>
        <v>0.31200000000000006</v>
      </c>
      <c r="Q24" s="254">
        <f>Q17-SUM(Q19:Q23)</f>
        <v>0.04000000000000001</v>
      </c>
      <c r="R24" s="254">
        <f>R17-SUM(R19:R23)</f>
        <v>0.032</v>
      </c>
      <c r="S24" s="254">
        <f>S17-SUM(S19:S23)</f>
        <v>0.012</v>
      </c>
      <c r="T24" s="254">
        <f>T17-SUM(T19:T23)</f>
        <v>0.004</v>
      </c>
      <c r="U24" s="254">
        <f>U17-SUM(U19:U23)</f>
        <v>0</v>
      </c>
      <c r="V24" s="143" t="e">
        <f>(M19*V19+M20*V20+#REF!*#REF!+#REF!*#REF!+M21*V21+M22*V22+M23*V23)/M24</f>
        <v>#REF!</v>
      </c>
      <c r="W24" s="142">
        <f>SUM(W19:W23)</f>
        <v>0</v>
      </c>
      <c r="X24" s="142" t="e">
        <f t="shared" si="2"/>
        <v>#DIV/0!</v>
      </c>
      <c r="Y24" s="143" t="e">
        <f>(Y19*N19+Y20*N20+#REF!*#REF!+#REF!*#REF!+Y21*N21+Y22*N22+Y23*N23)/N24</f>
        <v>#REF!</v>
      </c>
      <c r="Z24" s="141">
        <f>SUM(Z19:Z23)</f>
        <v>0</v>
      </c>
      <c r="AA24" s="151"/>
    </row>
    <row r="25" spans="1:27" s="109" customFormat="1" ht="15.75" customHeight="1" thickBot="1">
      <c r="A25" s="152" t="s">
        <v>9</v>
      </c>
      <c r="B25" s="112">
        <f>B23-B17</f>
        <v>0</v>
      </c>
      <c r="C25" s="108"/>
      <c r="D25" s="108"/>
      <c r="E25" s="125"/>
      <c r="F25" s="108"/>
      <c r="G25" s="226">
        <f>G17-G24</f>
        <v>0.3333333333333333</v>
      </c>
      <c r="H25" s="129">
        <f>H17-H24</f>
        <v>150</v>
      </c>
      <c r="I25" s="108"/>
      <c r="J25" s="108"/>
      <c r="K25" s="108"/>
      <c r="L25" s="108"/>
      <c r="M25" s="108"/>
      <c r="N25" s="108"/>
      <c r="O25" s="196" t="e">
        <f>SUM(O19:O23)/N24</f>
        <v>#DIV/0!</v>
      </c>
      <c r="P25" s="196" t="e">
        <f>SUM(P19:P23)/N24</f>
        <v>#DIV/0!</v>
      </c>
      <c r="Q25" s="196" t="e">
        <f>SUM(Q19:Q23)/N24</f>
        <v>#DIV/0!</v>
      </c>
      <c r="R25" s="196" t="e">
        <f>SUM(R19:R23)/N24</f>
        <v>#DIV/0!</v>
      </c>
      <c r="S25" s="196" t="e">
        <f>SUM(S19:S23)/N24</f>
        <v>#DIV/0!</v>
      </c>
      <c r="T25" s="196" t="e">
        <f>SUM(T19:T23)/N24</f>
        <v>#DIV/0!</v>
      </c>
      <c r="U25" s="196" t="e">
        <f>SUM(U19:U23)/N24</f>
        <v>#DIV/0!</v>
      </c>
      <c r="V25" s="108"/>
      <c r="W25" s="108"/>
      <c r="X25" s="108"/>
      <c r="Y25" s="108"/>
      <c r="Z25" s="108"/>
      <c r="AA25" s="153"/>
    </row>
    <row r="26" spans="5:27" s="109" customFormat="1" ht="15" customHeight="1" thickBot="1">
      <c r="E26" s="122"/>
      <c r="W26" s="114"/>
      <c r="X26" s="114"/>
      <c r="AA26" s="119"/>
    </row>
    <row r="27" spans="1:27" ht="15.75" customHeight="1" thickBot="1">
      <c r="A27" s="154" t="s">
        <v>44</v>
      </c>
      <c r="B27" s="155">
        <f>B14+1</f>
        <v>3</v>
      </c>
      <c r="C27" s="156" t="s">
        <v>104</v>
      </c>
      <c r="D27" s="157"/>
      <c r="E27" s="253">
        <f>E14+7</f>
        <v>38375</v>
      </c>
      <c r="F27" s="158"/>
      <c r="G27" s="158"/>
      <c r="H27" s="158"/>
      <c r="I27" s="158"/>
      <c r="J27" s="158"/>
      <c r="K27" s="144"/>
      <c r="L27" s="144"/>
      <c r="M27" s="159" t="s">
        <v>103</v>
      </c>
      <c r="N27" s="159"/>
      <c r="O27" s="159"/>
      <c r="P27" s="159"/>
      <c r="Q27" s="159"/>
      <c r="R27" s="159"/>
      <c r="S27" s="159"/>
      <c r="T27" s="159"/>
      <c r="U27" s="159"/>
      <c r="V27" s="158"/>
      <c r="W27" s="160"/>
      <c r="X27" s="160"/>
      <c r="Y27" s="158"/>
      <c r="Z27" s="158"/>
      <c r="AA27" s="161"/>
    </row>
    <row r="28" spans="1:27" ht="12.75">
      <c r="A28" s="230" t="s">
        <v>126</v>
      </c>
      <c r="B28" s="43"/>
      <c r="C28" s="33"/>
      <c r="D28" s="33"/>
      <c r="E28" s="162"/>
      <c r="F28" s="27"/>
      <c r="G28" s="27"/>
      <c r="H28" s="27"/>
      <c r="I28" s="27"/>
      <c r="J28" s="27"/>
      <c r="K28" s="27"/>
      <c r="L28" s="27"/>
      <c r="M28" s="27"/>
      <c r="N28" s="42"/>
      <c r="O28" s="43" t="s">
        <v>118</v>
      </c>
      <c r="P28" s="43"/>
      <c r="Q28" s="43"/>
      <c r="R28" s="43"/>
      <c r="S28" s="43"/>
      <c r="T28" s="43"/>
      <c r="U28" s="43"/>
      <c r="V28" s="27"/>
      <c r="W28" s="163"/>
      <c r="X28" s="163"/>
      <c r="Y28" s="27"/>
      <c r="Z28" s="27"/>
      <c r="AA28" s="164"/>
    </row>
    <row r="29" spans="1:27" s="127" customFormat="1" ht="16.5" thickBot="1">
      <c r="A29" s="165" t="s">
        <v>106</v>
      </c>
      <c r="B29" s="100" t="s">
        <v>107</v>
      </c>
      <c r="C29" s="100" t="s">
        <v>108</v>
      </c>
      <c r="D29" s="100" t="s">
        <v>109</v>
      </c>
      <c r="E29" s="126" t="s">
        <v>124</v>
      </c>
      <c r="F29" s="100" t="s">
        <v>125</v>
      </c>
      <c r="G29" s="100" t="s">
        <v>110</v>
      </c>
      <c r="H29" s="100" t="s">
        <v>111</v>
      </c>
      <c r="I29" s="100" t="s">
        <v>112</v>
      </c>
      <c r="J29" s="100" t="s">
        <v>113</v>
      </c>
      <c r="K29" s="100" t="s">
        <v>114</v>
      </c>
      <c r="L29" s="100" t="s">
        <v>115</v>
      </c>
      <c r="M29" s="100" t="s">
        <v>116</v>
      </c>
      <c r="N29" s="100" t="s">
        <v>117</v>
      </c>
      <c r="O29" s="100" t="s">
        <v>5</v>
      </c>
      <c r="P29" s="100" t="s">
        <v>1</v>
      </c>
      <c r="Q29" s="100" t="s">
        <v>2</v>
      </c>
      <c r="R29" s="100" t="s">
        <v>3</v>
      </c>
      <c r="S29" s="100" t="s">
        <v>7</v>
      </c>
      <c r="T29" s="100" t="s">
        <v>8</v>
      </c>
      <c r="U29" s="100" t="s">
        <v>40</v>
      </c>
      <c r="V29" s="100" t="s">
        <v>119</v>
      </c>
      <c r="W29" s="118" t="s">
        <v>120</v>
      </c>
      <c r="X29" s="118" t="s">
        <v>121</v>
      </c>
      <c r="Y29" s="100" t="s">
        <v>122</v>
      </c>
      <c r="Z29" s="100" t="s">
        <v>6</v>
      </c>
      <c r="AA29" s="153" t="s">
        <v>123</v>
      </c>
    </row>
    <row r="30" spans="1:27" s="81" customFormat="1" ht="12.75" customHeight="1" thickBot="1">
      <c r="A30" s="166" t="s">
        <v>105</v>
      </c>
      <c r="B30" s="208">
        <v>5</v>
      </c>
      <c r="C30" s="104"/>
      <c r="D30" s="104"/>
      <c r="E30" s="124"/>
      <c r="F30" s="105"/>
      <c r="G30" s="227">
        <v>0.3333333333333333</v>
      </c>
      <c r="H30" s="66">
        <v>150</v>
      </c>
      <c r="I30" s="105"/>
      <c r="J30" s="105"/>
      <c r="K30" s="105"/>
      <c r="L30" s="105"/>
      <c r="M30" s="106"/>
      <c r="N30" s="207">
        <v>0.425</v>
      </c>
      <c r="O30" s="227">
        <f aca="true" t="shared" si="3" ref="O30:U30">$N30*O31</f>
        <v>0</v>
      </c>
      <c r="P30" s="228">
        <f t="shared" si="3"/>
        <v>0.3315</v>
      </c>
      <c r="Q30" s="227">
        <f t="shared" si="3"/>
        <v>0.0425</v>
      </c>
      <c r="R30" s="227">
        <f t="shared" si="3"/>
        <v>0.034</v>
      </c>
      <c r="S30" s="227">
        <f t="shared" si="3"/>
        <v>0.01275</v>
      </c>
      <c r="T30" s="227">
        <f t="shared" si="3"/>
        <v>0.00425</v>
      </c>
      <c r="U30" s="227">
        <f t="shared" si="3"/>
        <v>0</v>
      </c>
      <c r="V30" s="105"/>
      <c r="W30" s="115"/>
      <c r="X30" s="115"/>
      <c r="Y30" s="105"/>
      <c r="Z30" s="105"/>
      <c r="AA30" s="167"/>
    </row>
    <row r="31" spans="1:27" s="81" customFormat="1" ht="12.75" customHeight="1" thickBot="1">
      <c r="A31" s="168"/>
      <c r="B31" s="107"/>
      <c r="C31" s="107"/>
      <c r="D31" s="107"/>
      <c r="E31" s="125"/>
      <c r="F31" s="108"/>
      <c r="G31" s="108"/>
      <c r="H31" s="108"/>
      <c r="I31" s="108"/>
      <c r="J31" s="108"/>
      <c r="K31" s="108"/>
      <c r="L31" s="108"/>
      <c r="M31" s="108"/>
      <c r="N31" s="108"/>
      <c r="O31" s="210">
        <v>0</v>
      </c>
      <c r="P31" s="136">
        <f>1-(SUM(Q31:U31)+O31)</f>
        <v>0.78</v>
      </c>
      <c r="Q31" s="210">
        <v>0.1</v>
      </c>
      <c r="R31" s="210">
        <v>0.08</v>
      </c>
      <c r="S31" s="210">
        <v>0.03</v>
      </c>
      <c r="T31" s="210">
        <v>0.01</v>
      </c>
      <c r="U31" s="210">
        <v>0</v>
      </c>
      <c r="V31" s="108"/>
      <c r="W31" s="116"/>
      <c r="X31" s="116"/>
      <c r="Y31" s="108"/>
      <c r="Z31" s="108"/>
      <c r="AA31" s="169"/>
    </row>
    <row r="32" spans="1:27" s="113" customFormat="1" ht="15.75" customHeight="1">
      <c r="A32" s="170">
        <f>A23+1</f>
        <v>10</v>
      </c>
      <c r="B32" s="97">
        <v>1</v>
      </c>
      <c r="C32" s="98"/>
      <c r="D32" s="98"/>
      <c r="E32" s="255"/>
      <c r="F32" s="255"/>
      <c r="G32" s="255"/>
      <c r="H32" s="99"/>
      <c r="I32" s="96"/>
      <c r="J32" s="96"/>
      <c r="K32" s="255"/>
      <c r="L32" s="255">
        <f>K32+M32</f>
        <v>0</v>
      </c>
      <c r="M32" s="255"/>
      <c r="N32" s="255"/>
      <c r="O32" s="255"/>
      <c r="P32" s="255"/>
      <c r="Q32" s="255"/>
      <c r="R32" s="255"/>
      <c r="S32" s="255"/>
      <c r="T32" s="255"/>
      <c r="U32" s="96"/>
      <c r="V32" s="99"/>
      <c r="W32" s="117"/>
      <c r="X32" s="117" t="e">
        <f aca="true" t="shared" si="4" ref="X32:X37">(W32/N32/24)</f>
        <v>#DIV/0!</v>
      </c>
      <c r="Y32" s="99"/>
      <c r="Z32" s="99">
        <f>(N32*24*Y32*3.44)</f>
        <v>0</v>
      </c>
      <c r="AA32" s="174"/>
    </row>
    <row r="33" spans="1:27" s="113" customFormat="1" ht="15.75" customHeight="1">
      <c r="A33" s="170">
        <f>A32+1</f>
        <v>11</v>
      </c>
      <c r="B33" s="97">
        <v>2</v>
      </c>
      <c r="C33" s="98"/>
      <c r="D33" s="98"/>
      <c r="E33" s="255"/>
      <c r="F33" s="255"/>
      <c r="G33" s="255"/>
      <c r="H33" s="99"/>
      <c r="I33" s="96"/>
      <c r="J33" s="96"/>
      <c r="K33" s="255"/>
      <c r="L33" s="255">
        <f>K33+M33</f>
        <v>0</v>
      </c>
      <c r="M33" s="255"/>
      <c r="N33" s="255"/>
      <c r="O33" s="255"/>
      <c r="P33" s="255"/>
      <c r="Q33" s="255"/>
      <c r="R33" s="255"/>
      <c r="S33" s="255"/>
      <c r="T33" s="255"/>
      <c r="U33" s="96"/>
      <c r="V33" s="99"/>
      <c r="W33" s="117"/>
      <c r="X33" s="117" t="e">
        <f t="shared" si="4"/>
        <v>#DIV/0!</v>
      </c>
      <c r="Y33" s="99"/>
      <c r="Z33" s="99">
        <f>(N33*24*Y33*3.44)</f>
        <v>0</v>
      </c>
      <c r="AA33" s="174"/>
    </row>
    <row r="34" spans="1:27" s="113" customFormat="1" ht="15.75" customHeight="1">
      <c r="A34" s="170">
        <f>A33+1</f>
        <v>12</v>
      </c>
      <c r="B34" s="97">
        <v>3</v>
      </c>
      <c r="C34" s="98"/>
      <c r="D34" s="98"/>
      <c r="E34" s="255"/>
      <c r="F34" s="255"/>
      <c r="G34" s="255"/>
      <c r="H34" s="99"/>
      <c r="I34" s="96"/>
      <c r="J34" s="96"/>
      <c r="K34" s="255"/>
      <c r="L34" s="255">
        <f>K34+M34</f>
        <v>0</v>
      </c>
      <c r="M34" s="255"/>
      <c r="N34" s="255"/>
      <c r="O34" s="255"/>
      <c r="P34" s="255"/>
      <c r="Q34" s="255"/>
      <c r="R34" s="255"/>
      <c r="S34" s="255"/>
      <c r="T34" s="255"/>
      <c r="U34" s="96"/>
      <c r="V34" s="99"/>
      <c r="W34" s="117"/>
      <c r="X34" s="117" t="e">
        <f t="shared" si="4"/>
        <v>#DIV/0!</v>
      </c>
      <c r="Y34" s="99"/>
      <c r="Z34" s="99">
        <f>(N34*24*Y34*3.44)</f>
        <v>0</v>
      </c>
      <c r="AA34" s="174"/>
    </row>
    <row r="35" spans="1:27" s="113" customFormat="1" ht="15.75" customHeight="1">
      <c r="A35" s="170">
        <f>A34+1</f>
        <v>13</v>
      </c>
      <c r="B35" s="97">
        <v>4</v>
      </c>
      <c r="C35" s="98"/>
      <c r="D35" s="98"/>
      <c r="E35" s="255"/>
      <c r="F35" s="255"/>
      <c r="G35" s="255"/>
      <c r="H35" s="99"/>
      <c r="I35" s="96"/>
      <c r="J35" s="96"/>
      <c r="K35" s="255"/>
      <c r="L35" s="255">
        <f>K35+M35</f>
        <v>0</v>
      </c>
      <c r="M35" s="255"/>
      <c r="N35" s="255"/>
      <c r="O35" s="255"/>
      <c r="P35" s="255"/>
      <c r="Q35" s="255"/>
      <c r="R35" s="255"/>
      <c r="S35" s="255"/>
      <c r="T35" s="255"/>
      <c r="U35" s="96"/>
      <c r="V35" s="99"/>
      <c r="W35" s="117"/>
      <c r="X35" s="117" t="e">
        <f t="shared" si="4"/>
        <v>#DIV/0!</v>
      </c>
      <c r="Y35" s="99"/>
      <c r="Z35" s="99">
        <f>(N35*24*Y35*3.44)</f>
        <v>0</v>
      </c>
      <c r="AA35" s="174"/>
    </row>
    <row r="36" spans="1:27" s="113" customFormat="1" ht="15.75" customHeight="1" thickBot="1">
      <c r="A36" s="170">
        <f>A35+1</f>
        <v>14</v>
      </c>
      <c r="B36" s="97">
        <v>5</v>
      </c>
      <c r="C36" s="98"/>
      <c r="D36" s="98"/>
      <c r="E36" s="255"/>
      <c r="F36" s="255"/>
      <c r="G36" s="255"/>
      <c r="H36" s="99"/>
      <c r="I36" s="96"/>
      <c r="J36" s="96"/>
      <c r="K36" s="255"/>
      <c r="L36" s="255">
        <f>K36+M36</f>
        <v>0</v>
      </c>
      <c r="M36" s="255"/>
      <c r="N36" s="255"/>
      <c r="O36" s="255"/>
      <c r="P36" s="255"/>
      <c r="Q36" s="255"/>
      <c r="R36" s="255"/>
      <c r="S36" s="255"/>
      <c r="T36" s="255"/>
      <c r="U36" s="96"/>
      <c r="V36" s="99"/>
      <c r="W36" s="117"/>
      <c r="X36" s="117" t="e">
        <f t="shared" si="4"/>
        <v>#DIV/0!</v>
      </c>
      <c r="Y36" s="99"/>
      <c r="Z36" s="99">
        <f>(N36*24*Y36*3.44)</f>
        <v>0</v>
      </c>
      <c r="AA36" s="174"/>
    </row>
    <row r="37" spans="1:27" s="109" customFormat="1" ht="15.75" customHeight="1">
      <c r="A37" s="148" t="s">
        <v>129</v>
      </c>
      <c r="B37" s="149"/>
      <c r="C37" s="149"/>
      <c r="D37" s="149"/>
      <c r="E37" s="254">
        <f>SUM(E32:E36)/B36</f>
        <v>0</v>
      </c>
      <c r="F37" s="254">
        <f>SUM(F32:F36)/B36</f>
        <v>0</v>
      </c>
      <c r="G37" s="254">
        <f>SUM(G32:G36)/B36</f>
        <v>0</v>
      </c>
      <c r="H37" s="141">
        <f>SUM(H32:H36)/B36</f>
        <v>0</v>
      </c>
      <c r="I37" s="150">
        <f>SUM(I32:I36)/B36</f>
        <v>0</v>
      </c>
      <c r="J37" s="149"/>
      <c r="K37" s="254">
        <f>SUM(K32:K36)/B36</f>
        <v>0</v>
      </c>
      <c r="L37" s="254">
        <f>SUM(L32:L36)/B36</f>
        <v>0</v>
      </c>
      <c r="M37" s="254">
        <f>SUM(M32:M36)</f>
        <v>0</v>
      </c>
      <c r="N37" s="254">
        <f>SUM(N32:N36)</f>
        <v>0</v>
      </c>
      <c r="O37" s="254">
        <f>O30-SUM(O32:O36)</f>
        <v>0</v>
      </c>
      <c r="P37" s="254">
        <f>P30-SUM(P32:P36)</f>
        <v>0.3315</v>
      </c>
      <c r="Q37" s="254">
        <f>Q30-SUM(Q32:Q36)</f>
        <v>0.0425</v>
      </c>
      <c r="R37" s="254">
        <f>R30-SUM(R32:R36)</f>
        <v>0.034</v>
      </c>
      <c r="S37" s="254">
        <f>S30-SUM(S32:S36)</f>
        <v>0.01275</v>
      </c>
      <c r="T37" s="254">
        <f>T30-SUM(T32:T36)</f>
        <v>0.00425</v>
      </c>
      <c r="U37" s="254">
        <f>U30-SUM(U32:U36)</f>
        <v>0</v>
      </c>
      <c r="V37" s="143" t="e">
        <f>(M32*V32+M33*V33+#REF!*#REF!+#REF!*#REF!+M34*V34+M35*V35+M36*V36)/M37</f>
        <v>#REF!</v>
      </c>
      <c r="W37" s="142">
        <f>SUM(W32:W36)</f>
        <v>0</v>
      </c>
      <c r="X37" s="142" t="e">
        <f t="shared" si="4"/>
        <v>#DIV/0!</v>
      </c>
      <c r="Y37" s="143" t="e">
        <f>(Y32*N32+Y33*N33+#REF!*#REF!+#REF!*#REF!+Y34*N34+Y35*N35+Y36*N36)/N37</f>
        <v>#REF!</v>
      </c>
      <c r="Z37" s="141">
        <f>SUM(Z32:Z36)</f>
        <v>0</v>
      </c>
      <c r="AA37" s="151"/>
    </row>
    <row r="38" spans="1:27" s="109" customFormat="1" ht="15.75" customHeight="1" thickBot="1">
      <c r="A38" s="152" t="s">
        <v>9</v>
      </c>
      <c r="B38" s="112">
        <f>B36-B30</f>
        <v>0</v>
      </c>
      <c r="C38" s="108"/>
      <c r="D38" s="108"/>
      <c r="E38" s="125"/>
      <c r="F38" s="108"/>
      <c r="G38" s="226">
        <f>G30-G37</f>
        <v>0.3333333333333333</v>
      </c>
      <c r="H38" s="129">
        <f>H30-H37</f>
        <v>150</v>
      </c>
      <c r="I38" s="108"/>
      <c r="J38" s="108"/>
      <c r="K38" s="108"/>
      <c r="L38" s="108"/>
      <c r="M38" s="108"/>
      <c r="N38" s="108"/>
      <c r="O38" s="196" t="e">
        <f>SUM(O32:O36)/N37</f>
        <v>#DIV/0!</v>
      </c>
      <c r="P38" s="196" t="e">
        <f>SUM(P32:P36)/N37</f>
        <v>#DIV/0!</v>
      </c>
      <c r="Q38" s="196" t="e">
        <f>SUM(Q32:Q36)/N37</f>
        <v>#DIV/0!</v>
      </c>
      <c r="R38" s="196" t="e">
        <f>SUM(R32:R36)/N37</f>
        <v>#DIV/0!</v>
      </c>
      <c r="S38" s="196" t="e">
        <f>SUM(S32:S36)/N37</f>
        <v>#DIV/0!</v>
      </c>
      <c r="T38" s="196" t="e">
        <f>SUM(T32:T36)/N37</f>
        <v>#DIV/0!</v>
      </c>
      <c r="U38" s="196" t="e">
        <f>SUM(U32:U36)/N37</f>
        <v>#DIV/0!</v>
      </c>
      <c r="V38" s="108"/>
      <c r="W38" s="108"/>
      <c r="X38" s="108"/>
      <c r="Y38" s="108"/>
      <c r="Z38" s="108"/>
      <c r="AA38" s="153"/>
    </row>
    <row r="39" spans="5:27" s="109" customFormat="1" ht="15" customHeight="1" thickBot="1">
      <c r="E39" s="122"/>
      <c r="W39" s="114"/>
      <c r="X39" s="114"/>
      <c r="AA39" s="119"/>
    </row>
    <row r="40" spans="1:27" ht="15.75" customHeight="1" thickBot="1">
      <c r="A40" s="154" t="s">
        <v>44</v>
      </c>
      <c r="B40" s="155">
        <f>B27+1</f>
        <v>4</v>
      </c>
      <c r="C40" s="156" t="s">
        <v>104</v>
      </c>
      <c r="D40" s="157"/>
      <c r="E40" s="253">
        <f>E27+7</f>
        <v>38382</v>
      </c>
      <c r="F40" s="158"/>
      <c r="G40" s="158"/>
      <c r="H40" s="158"/>
      <c r="I40" s="158"/>
      <c r="J40" s="158"/>
      <c r="K40" s="144"/>
      <c r="L40" s="144"/>
      <c r="M40" s="159" t="s">
        <v>103</v>
      </c>
      <c r="N40" s="159"/>
      <c r="O40" s="159"/>
      <c r="P40" s="159"/>
      <c r="Q40" s="159"/>
      <c r="R40" s="159"/>
      <c r="S40" s="159"/>
      <c r="T40" s="159"/>
      <c r="U40" s="159"/>
      <c r="V40" s="158"/>
      <c r="W40" s="160"/>
      <c r="X40" s="160"/>
      <c r="Y40" s="158"/>
      <c r="Z40" s="158"/>
      <c r="AA40" s="161"/>
    </row>
    <row r="41" spans="1:27" ht="12.75">
      <c r="A41" s="230" t="s">
        <v>126</v>
      </c>
      <c r="B41" s="43"/>
      <c r="C41" s="33"/>
      <c r="D41" s="33"/>
      <c r="E41" s="162"/>
      <c r="F41" s="27"/>
      <c r="G41" s="27"/>
      <c r="H41" s="27"/>
      <c r="I41" s="27"/>
      <c r="J41" s="27"/>
      <c r="K41" s="27"/>
      <c r="L41" s="27"/>
      <c r="M41" s="27"/>
      <c r="N41" s="42"/>
      <c r="O41" s="43" t="s">
        <v>118</v>
      </c>
      <c r="P41" s="43"/>
      <c r="Q41" s="43"/>
      <c r="R41" s="43"/>
      <c r="S41" s="43"/>
      <c r="T41" s="43"/>
      <c r="U41" s="43"/>
      <c r="V41" s="27"/>
      <c r="W41" s="163"/>
      <c r="X41" s="163"/>
      <c r="Y41" s="27"/>
      <c r="Z41" s="27"/>
      <c r="AA41" s="164"/>
    </row>
    <row r="42" spans="1:27" s="127" customFormat="1" ht="16.5" thickBot="1">
      <c r="A42" s="165" t="s">
        <v>106</v>
      </c>
      <c r="B42" s="100" t="s">
        <v>107</v>
      </c>
      <c r="C42" s="100" t="s">
        <v>108</v>
      </c>
      <c r="D42" s="100" t="s">
        <v>109</v>
      </c>
      <c r="E42" s="126" t="s">
        <v>124</v>
      </c>
      <c r="F42" s="100" t="s">
        <v>125</v>
      </c>
      <c r="G42" s="100" t="s">
        <v>110</v>
      </c>
      <c r="H42" s="100" t="s">
        <v>111</v>
      </c>
      <c r="I42" s="100" t="s">
        <v>112</v>
      </c>
      <c r="J42" s="100" t="s">
        <v>113</v>
      </c>
      <c r="K42" s="100" t="s">
        <v>114</v>
      </c>
      <c r="L42" s="100" t="s">
        <v>115</v>
      </c>
      <c r="M42" s="100" t="s">
        <v>116</v>
      </c>
      <c r="N42" s="100" t="s">
        <v>117</v>
      </c>
      <c r="O42" s="100" t="s">
        <v>5</v>
      </c>
      <c r="P42" s="100" t="s">
        <v>1</v>
      </c>
      <c r="Q42" s="100" t="s">
        <v>2</v>
      </c>
      <c r="R42" s="100" t="s">
        <v>3</v>
      </c>
      <c r="S42" s="100" t="s">
        <v>7</v>
      </c>
      <c r="T42" s="100" t="s">
        <v>8</v>
      </c>
      <c r="U42" s="100" t="s">
        <v>40</v>
      </c>
      <c r="V42" s="100" t="s">
        <v>119</v>
      </c>
      <c r="W42" s="118" t="s">
        <v>120</v>
      </c>
      <c r="X42" s="118" t="s">
        <v>121</v>
      </c>
      <c r="Y42" s="100" t="s">
        <v>122</v>
      </c>
      <c r="Z42" s="100" t="s">
        <v>6</v>
      </c>
      <c r="AA42" s="153" t="s">
        <v>123</v>
      </c>
    </row>
    <row r="43" spans="1:27" s="81" customFormat="1" ht="12.75" customHeight="1" thickBot="1">
      <c r="A43" s="166" t="s">
        <v>105</v>
      </c>
      <c r="B43" s="208">
        <v>5</v>
      </c>
      <c r="C43" s="104"/>
      <c r="D43" s="104"/>
      <c r="E43" s="124"/>
      <c r="F43" s="105"/>
      <c r="G43" s="227">
        <v>0.3333333333333333</v>
      </c>
      <c r="H43" s="66">
        <v>150</v>
      </c>
      <c r="I43" s="105"/>
      <c r="J43" s="105"/>
      <c r="K43" s="105"/>
      <c r="L43" s="105"/>
      <c r="M43" s="106"/>
      <c r="N43" s="207">
        <v>0.45208333333333334</v>
      </c>
      <c r="O43" s="227">
        <f aca="true" t="shared" si="5" ref="O43:U43">$N43*O44</f>
        <v>0</v>
      </c>
      <c r="P43" s="228">
        <f t="shared" si="5"/>
        <v>0.352625</v>
      </c>
      <c r="Q43" s="227">
        <f t="shared" si="5"/>
        <v>0.045208333333333336</v>
      </c>
      <c r="R43" s="227">
        <f t="shared" si="5"/>
        <v>0.036166666666666666</v>
      </c>
      <c r="S43" s="227">
        <f t="shared" si="5"/>
        <v>0.0135625</v>
      </c>
      <c r="T43" s="227">
        <f t="shared" si="5"/>
        <v>0.004520833333333333</v>
      </c>
      <c r="U43" s="227">
        <f t="shared" si="5"/>
        <v>0</v>
      </c>
      <c r="V43" s="105"/>
      <c r="W43" s="115"/>
      <c r="X43" s="115"/>
      <c r="Y43" s="105"/>
      <c r="Z43" s="105"/>
      <c r="AA43" s="167"/>
    </row>
    <row r="44" spans="1:27" s="81" customFormat="1" ht="12.75" customHeight="1" thickBot="1">
      <c r="A44" s="168"/>
      <c r="B44" s="107"/>
      <c r="C44" s="107"/>
      <c r="D44" s="107"/>
      <c r="E44" s="125"/>
      <c r="F44" s="108"/>
      <c r="G44" s="108"/>
      <c r="H44" s="108"/>
      <c r="I44" s="108"/>
      <c r="J44" s="108"/>
      <c r="K44" s="108"/>
      <c r="L44" s="108"/>
      <c r="M44" s="108"/>
      <c r="N44" s="108"/>
      <c r="O44" s="210">
        <v>0</v>
      </c>
      <c r="P44" s="136">
        <f>1-(SUM(Q44:U44)+O44)</f>
        <v>0.78</v>
      </c>
      <c r="Q44" s="210">
        <v>0.1</v>
      </c>
      <c r="R44" s="210">
        <v>0.08</v>
      </c>
      <c r="S44" s="210">
        <v>0.03</v>
      </c>
      <c r="T44" s="210">
        <v>0.01</v>
      </c>
      <c r="U44" s="210">
        <v>0</v>
      </c>
      <c r="V44" s="108"/>
      <c r="W44" s="116"/>
      <c r="X44" s="116"/>
      <c r="Y44" s="108"/>
      <c r="Z44" s="108"/>
      <c r="AA44" s="169"/>
    </row>
    <row r="45" spans="1:27" s="113" customFormat="1" ht="15.75" customHeight="1">
      <c r="A45" s="170">
        <f>A36+1</f>
        <v>15</v>
      </c>
      <c r="B45" s="97">
        <v>1</v>
      </c>
      <c r="C45" s="98"/>
      <c r="D45" s="98"/>
      <c r="E45" s="255"/>
      <c r="F45" s="255"/>
      <c r="G45" s="255"/>
      <c r="H45" s="99"/>
      <c r="I45" s="96"/>
      <c r="J45" s="96"/>
      <c r="K45" s="255"/>
      <c r="L45" s="255">
        <f>K45+M45</f>
        <v>0</v>
      </c>
      <c r="M45" s="255"/>
      <c r="N45" s="255"/>
      <c r="O45" s="255"/>
      <c r="P45" s="255"/>
      <c r="Q45" s="255"/>
      <c r="R45" s="255"/>
      <c r="S45" s="255"/>
      <c r="T45" s="255"/>
      <c r="U45" s="96"/>
      <c r="V45" s="99"/>
      <c r="W45" s="117"/>
      <c r="X45" s="117" t="e">
        <f aca="true" t="shared" si="6" ref="X45:X50">(W45/N45/24)</f>
        <v>#DIV/0!</v>
      </c>
      <c r="Y45" s="99"/>
      <c r="Z45" s="99">
        <f>(N45*24*Y45*3.44)</f>
        <v>0</v>
      </c>
      <c r="AA45" s="174"/>
    </row>
    <row r="46" spans="1:27" s="113" customFormat="1" ht="15.75" customHeight="1">
      <c r="A46" s="170">
        <f>A45+1</f>
        <v>16</v>
      </c>
      <c r="B46" s="97">
        <v>2</v>
      </c>
      <c r="C46" s="98"/>
      <c r="D46" s="98"/>
      <c r="E46" s="255"/>
      <c r="F46" s="255"/>
      <c r="G46" s="255"/>
      <c r="H46" s="99"/>
      <c r="I46" s="96"/>
      <c r="J46" s="96"/>
      <c r="K46" s="255"/>
      <c r="L46" s="255">
        <f>K46+M46</f>
        <v>0</v>
      </c>
      <c r="M46" s="255"/>
      <c r="N46" s="255"/>
      <c r="O46" s="255"/>
      <c r="P46" s="255"/>
      <c r="Q46" s="255"/>
      <c r="R46" s="255"/>
      <c r="S46" s="255"/>
      <c r="T46" s="255"/>
      <c r="U46" s="96"/>
      <c r="V46" s="99"/>
      <c r="W46" s="117"/>
      <c r="X46" s="117" t="e">
        <f t="shared" si="6"/>
        <v>#DIV/0!</v>
      </c>
      <c r="Y46" s="99"/>
      <c r="Z46" s="99">
        <f>(N46*24*Y46*3.44)</f>
        <v>0</v>
      </c>
      <c r="AA46" s="174"/>
    </row>
    <row r="47" spans="1:27" s="113" customFormat="1" ht="15.75" customHeight="1">
      <c r="A47" s="170">
        <f>A46+1</f>
        <v>17</v>
      </c>
      <c r="B47" s="97">
        <v>3</v>
      </c>
      <c r="C47" s="98"/>
      <c r="D47" s="98"/>
      <c r="E47" s="255"/>
      <c r="F47" s="255"/>
      <c r="G47" s="255"/>
      <c r="H47" s="99"/>
      <c r="I47" s="96"/>
      <c r="J47" s="96"/>
      <c r="K47" s="255"/>
      <c r="L47" s="255">
        <f>K47+M47</f>
        <v>0</v>
      </c>
      <c r="M47" s="255"/>
      <c r="N47" s="255"/>
      <c r="O47" s="255"/>
      <c r="P47" s="255"/>
      <c r="Q47" s="255"/>
      <c r="R47" s="255"/>
      <c r="S47" s="255"/>
      <c r="T47" s="255"/>
      <c r="U47" s="96"/>
      <c r="V47" s="99"/>
      <c r="W47" s="117"/>
      <c r="X47" s="117" t="e">
        <f t="shared" si="6"/>
        <v>#DIV/0!</v>
      </c>
      <c r="Y47" s="99"/>
      <c r="Z47" s="99">
        <f>(N47*24*Y47*3.44)</f>
        <v>0</v>
      </c>
      <c r="AA47" s="174"/>
    </row>
    <row r="48" spans="1:27" s="113" customFormat="1" ht="15.75" customHeight="1">
      <c r="A48" s="170">
        <f>A47+1</f>
        <v>18</v>
      </c>
      <c r="B48" s="97">
        <v>4</v>
      </c>
      <c r="C48" s="98"/>
      <c r="D48" s="98"/>
      <c r="E48" s="255"/>
      <c r="F48" s="255"/>
      <c r="G48" s="255"/>
      <c r="H48" s="99"/>
      <c r="I48" s="96"/>
      <c r="J48" s="96"/>
      <c r="K48" s="255"/>
      <c r="L48" s="255">
        <f>K48+M48</f>
        <v>0</v>
      </c>
      <c r="M48" s="255"/>
      <c r="N48" s="255"/>
      <c r="O48" s="255"/>
      <c r="P48" s="255"/>
      <c r="Q48" s="255"/>
      <c r="R48" s="255"/>
      <c r="S48" s="255"/>
      <c r="T48" s="255"/>
      <c r="U48" s="96"/>
      <c r="V48" s="99"/>
      <c r="W48" s="117"/>
      <c r="X48" s="117" t="e">
        <f t="shared" si="6"/>
        <v>#DIV/0!</v>
      </c>
      <c r="Y48" s="99"/>
      <c r="Z48" s="99">
        <f>(N48*24*Y48*3.44)</f>
        <v>0</v>
      </c>
      <c r="AA48" s="174"/>
    </row>
    <row r="49" spans="1:27" s="113" customFormat="1" ht="15.75" customHeight="1" thickBot="1">
      <c r="A49" s="170">
        <f>A48+1</f>
        <v>19</v>
      </c>
      <c r="B49" s="97">
        <v>5</v>
      </c>
      <c r="C49" s="98"/>
      <c r="D49" s="98"/>
      <c r="E49" s="255"/>
      <c r="F49" s="255"/>
      <c r="G49" s="255"/>
      <c r="H49" s="99"/>
      <c r="I49" s="96"/>
      <c r="J49" s="96"/>
      <c r="K49" s="255"/>
      <c r="L49" s="255">
        <f>K49+M49</f>
        <v>0</v>
      </c>
      <c r="M49" s="255"/>
      <c r="N49" s="255"/>
      <c r="O49" s="255"/>
      <c r="P49" s="255"/>
      <c r="Q49" s="255"/>
      <c r="R49" s="255"/>
      <c r="S49" s="255"/>
      <c r="T49" s="255"/>
      <c r="U49" s="96"/>
      <c r="V49" s="99"/>
      <c r="W49" s="117"/>
      <c r="X49" s="117" t="e">
        <f t="shared" si="6"/>
        <v>#DIV/0!</v>
      </c>
      <c r="Y49" s="99"/>
      <c r="Z49" s="99">
        <f>(N49*24*Y49*3.44)</f>
        <v>0</v>
      </c>
      <c r="AA49" s="174"/>
    </row>
    <row r="50" spans="1:27" s="109" customFormat="1" ht="15.75" customHeight="1">
      <c r="A50" s="148" t="s">
        <v>129</v>
      </c>
      <c r="B50" s="149"/>
      <c r="C50" s="149"/>
      <c r="D50" s="149"/>
      <c r="E50" s="254">
        <f>SUM(E45:E49)/B49</f>
        <v>0</v>
      </c>
      <c r="F50" s="254">
        <f>SUM(F45:F49)/B49</f>
        <v>0</v>
      </c>
      <c r="G50" s="254">
        <f>SUM(G45:G49)/B49</f>
        <v>0</v>
      </c>
      <c r="H50" s="141">
        <f>SUM(H45:H49)/B49</f>
        <v>0</v>
      </c>
      <c r="I50" s="150">
        <f>SUM(I45:I49)/B49</f>
        <v>0</v>
      </c>
      <c r="J50" s="149"/>
      <c r="K50" s="254">
        <f>SUM(K45:K49)/B49</f>
        <v>0</v>
      </c>
      <c r="L50" s="254">
        <f>SUM(L45:L49)/B49</f>
        <v>0</v>
      </c>
      <c r="M50" s="254">
        <f>SUM(M45:M49)</f>
        <v>0</v>
      </c>
      <c r="N50" s="254">
        <f>SUM(N45:N49)</f>
        <v>0</v>
      </c>
      <c r="O50" s="254">
        <f>O43-SUM(O45:O49)</f>
        <v>0</v>
      </c>
      <c r="P50" s="254">
        <f>P43-SUM(P45:P49)</f>
        <v>0.352625</v>
      </c>
      <c r="Q50" s="254">
        <f>Q43-SUM(Q45:Q49)</f>
        <v>0.045208333333333336</v>
      </c>
      <c r="R50" s="254">
        <f>R43-SUM(R45:R49)</f>
        <v>0.036166666666666666</v>
      </c>
      <c r="S50" s="254">
        <f>S43-SUM(S45:S49)</f>
        <v>0.0135625</v>
      </c>
      <c r="T50" s="254">
        <f>T43-SUM(T45:T49)</f>
        <v>0.004520833333333333</v>
      </c>
      <c r="U50" s="254">
        <f>U43-SUM(U45:U49)</f>
        <v>0</v>
      </c>
      <c r="V50" s="143" t="e">
        <f>(M45*V45+M46*V46+M47*V47+#REF!*#REF!+#REF!*#REF!+M48*V48+M49*V49)/M50</f>
        <v>#REF!</v>
      </c>
      <c r="W50" s="142">
        <f>SUM(W45:W49)</f>
        <v>0</v>
      </c>
      <c r="X50" s="142" t="e">
        <f t="shared" si="6"/>
        <v>#DIV/0!</v>
      </c>
      <c r="Y50" s="143" t="e">
        <f>(Y45*N45+Y46*N46+Y47*N47+#REF!*#REF!+#REF!*#REF!+Y48*N48+Y49*N49)/N50</f>
        <v>#REF!</v>
      </c>
      <c r="Z50" s="141">
        <f>SUM(Z45:Z49)</f>
        <v>0</v>
      </c>
      <c r="AA50" s="151"/>
    </row>
    <row r="51" spans="1:27" s="109" customFormat="1" ht="15.75" customHeight="1" thickBot="1">
      <c r="A51" s="152" t="s">
        <v>9</v>
      </c>
      <c r="B51" s="112">
        <f>B49-B43</f>
        <v>0</v>
      </c>
      <c r="C51" s="108"/>
      <c r="D51" s="108"/>
      <c r="E51" s="125"/>
      <c r="F51" s="108"/>
      <c r="G51" s="226">
        <f>G43-G50</f>
        <v>0.3333333333333333</v>
      </c>
      <c r="H51" s="129">
        <f>H43-H50</f>
        <v>150</v>
      </c>
      <c r="I51" s="108"/>
      <c r="J51" s="108"/>
      <c r="K51" s="108"/>
      <c r="L51" s="108"/>
      <c r="M51" s="108"/>
      <c r="N51" s="108"/>
      <c r="O51" s="196" t="e">
        <f>SUM(O45:O49)/N50</f>
        <v>#DIV/0!</v>
      </c>
      <c r="P51" s="196" t="e">
        <f>SUM(P45:P49)/N50</f>
        <v>#DIV/0!</v>
      </c>
      <c r="Q51" s="196" t="e">
        <f>SUM(Q45:Q49)/N50</f>
        <v>#DIV/0!</v>
      </c>
      <c r="R51" s="196" t="e">
        <f>SUM(R45:R49)/N50</f>
        <v>#DIV/0!</v>
      </c>
      <c r="S51" s="196" t="e">
        <f>SUM(S45:S49)/N50</f>
        <v>#DIV/0!</v>
      </c>
      <c r="T51" s="196" t="e">
        <f>SUM(T45:T49)/N50</f>
        <v>#DIV/0!</v>
      </c>
      <c r="U51" s="196" t="e">
        <f>SUM(U45:U49)/N50</f>
        <v>#DIV/0!</v>
      </c>
      <c r="V51" s="108"/>
      <c r="W51" s="108"/>
      <c r="X51" s="108"/>
      <c r="Y51" s="108"/>
      <c r="Z51" s="108"/>
      <c r="AA51" s="153"/>
    </row>
    <row r="52" spans="5:27" s="109" customFormat="1" ht="15" customHeight="1" thickBot="1">
      <c r="E52" s="122"/>
      <c r="W52" s="114"/>
      <c r="X52" s="114"/>
      <c r="AA52" s="119"/>
    </row>
    <row r="53" spans="1:27" ht="15.75" customHeight="1" thickBot="1">
      <c r="A53" s="154" t="s">
        <v>44</v>
      </c>
      <c r="B53" s="155">
        <f>B40+1</f>
        <v>5</v>
      </c>
      <c r="C53" s="156" t="s">
        <v>104</v>
      </c>
      <c r="D53" s="157"/>
      <c r="E53" s="253">
        <f>E40+7</f>
        <v>38389</v>
      </c>
      <c r="F53" s="158"/>
      <c r="G53" s="158"/>
      <c r="H53" s="158"/>
      <c r="I53" s="158"/>
      <c r="J53" s="158"/>
      <c r="K53" s="144"/>
      <c r="L53" s="144"/>
      <c r="M53" s="159" t="s">
        <v>103</v>
      </c>
      <c r="N53" s="159"/>
      <c r="O53" s="159"/>
      <c r="P53" s="159"/>
      <c r="Q53" s="159"/>
      <c r="R53" s="159"/>
      <c r="S53" s="159"/>
      <c r="T53" s="159"/>
      <c r="U53" s="159"/>
      <c r="V53" s="158"/>
      <c r="W53" s="160"/>
      <c r="X53" s="160"/>
      <c r="Y53" s="158"/>
      <c r="Z53" s="158"/>
      <c r="AA53" s="161"/>
    </row>
    <row r="54" spans="1:27" ht="12.75">
      <c r="A54" s="230" t="s">
        <v>126</v>
      </c>
      <c r="B54" s="43"/>
      <c r="C54" s="33"/>
      <c r="D54" s="33"/>
      <c r="E54" s="162"/>
      <c r="F54" s="27"/>
      <c r="G54" s="27"/>
      <c r="H54" s="27"/>
      <c r="I54" s="27"/>
      <c r="J54" s="27"/>
      <c r="K54" s="27"/>
      <c r="L54" s="27"/>
      <c r="M54" s="27"/>
      <c r="N54" s="42"/>
      <c r="O54" s="43" t="s">
        <v>118</v>
      </c>
      <c r="P54" s="43"/>
      <c r="Q54" s="43"/>
      <c r="R54" s="43"/>
      <c r="S54" s="43"/>
      <c r="T54" s="43"/>
      <c r="U54" s="43"/>
      <c r="V54" s="27"/>
      <c r="W54" s="163"/>
      <c r="X54" s="163"/>
      <c r="Y54" s="27"/>
      <c r="Z54" s="27"/>
      <c r="AA54" s="164"/>
    </row>
    <row r="55" spans="1:27" s="127" customFormat="1" ht="16.5" thickBot="1">
      <c r="A55" s="165" t="s">
        <v>106</v>
      </c>
      <c r="B55" s="100" t="s">
        <v>107</v>
      </c>
      <c r="C55" s="100" t="s">
        <v>108</v>
      </c>
      <c r="D55" s="100" t="s">
        <v>109</v>
      </c>
      <c r="E55" s="126" t="s">
        <v>124</v>
      </c>
      <c r="F55" s="100" t="s">
        <v>125</v>
      </c>
      <c r="G55" s="100" t="s">
        <v>110</v>
      </c>
      <c r="H55" s="100" t="s">
        <v>111</v>
      </c>
      <c r="I55" s="100" t="s">
        <v>112</v>
      </c>
      <c r="J55" s="100" t="s">
        <v>113</v>
      </c>
      <c r="K55" s="100" t="s">
        <v>114</v>
      </c>
      <c r="L55" s="100" t="s">
        <v>115</v>
      </c>
      <c r="M55" s="100" t="s">
        <v>116</v>
      </c>
      <c r="N55" s="100" t="s">
        <v>117</v>
      </c>
      <c r="O55" s="100" t="s">
        <v>5</v>
      </c>
      <c r="P55" s="100" t="s">
        <v>1</v>
      </c>
      <c r="Q55" s="100" t="s">
        <v>2</v>
      </c>
      <c r="R55" s="100" t="s">
        <v>3</v>
      </c>
      <c r="S55" s="100" t="s">
        <v>7</v>
      </c>
      <c r="T55" s="100" t="s">
        <v>8</v>
      </c>
      <c r="U55" s="100" t="s">
        <v>40</v>
      </c>
      <c r="V55" s="100" t="s">
        <v>119</v>
      </c>
      <c r="W55" s="118" t="s">
        <v>120</v>
      </c>
      <c r="X55" s="118" t="s">
        <v>121</v>
      </c>
      <c r="Y55" s="100" t="s">
        <v>122</v>
      </c>
      <c r="Z55" s="100" t="s">
        <v>6</v>
      </c>
      <c r="AA55" s="153" t="s">
        <v>123</v>
      </c>
    </row>
    <row r="56" spans="1:27" s="81" customFormat="1" ht="12.75" customHeight="1" thickBot="1">
      <c r="A56" s="166" t="s">
        <v>105</v>
      </c>
      <c r="B56" s="208">
        <v>5</v>
      </c>
      <c r="C56" s="104"/>
      <c r="D56" s="104"/>
      <c r="E56" s="124"/>
      <c r="F56" s="105"/>
      <c r="G56" s="227">
        <v>0.3333333333333333</v>
      </c>
      <c r="H56" s="66">
        <v>150</v>
      </c>
      <c r="I56" s="105"/>
      <c r="J56" s="105"/>
      <c r="K56" s="105"/>
      <c r="L56" s="105"/>
      <c r="M56" s="106"/>
      <c r="N56" s="207">
        <v>0.4798611111111111</v>
      </c>
      <c r="O56" s="227">
        <f aca="true" t="shared" si="7" ref="O56:U56">$N56*O57</f>
        <v>0</v>
      </c>
      <c r="P56" s="228">
        <f t="shared" si="7"/>
        <v>0.3742916666666667</v>
      </c>
      <c r="Q56" s="227">
        <f t="shared" si="7"/>
        <v>0.04798611111111112</v>
      </c>
      <c r="R56" s="227">
        <f t="shared" si="7"/>
        <v>0.03838888888888889</v>
      </c>
      <c r="S56" s="227">
        <f t="shared" si="7"/>
        <v>0.014395833333333333</v>
      </c>
      <c r="T56" s="227">
        <f t="shared" si="7"/>
        <v>0.004798611111111111</v>
      </c>
      <c r="U56" s="227">
        <f t="shared" si="7"/>
        <v>0</v>
      </c>
      <c r="V56" s="105"/>
      <c r="W56" s="115"/>
      <c r="X56" s="115"/>
      <c r="Y56" s="105"/>
      <c r="Z56" s="105"/>
      <c r="AA56" s="167"/>
    </row>
    <row r="57" spans="1:27" s="81" customFormat="1" ht="12.75" customHeight="1" thickBot="1">
      <c r="A57" s="168"/>
      <c r="B57" s="107"/>
      <c r="C57" s="107"/>
      <c r="D57" s="107"/>
      <c r="E57" s="125"/>
      <c r="F57" s="108"/>
      <c r="G57" s="108"/>
      <c r="H57" s="108"/>
      <c r="I57" s="108"/>
      <c r="J57" s="108"/>
      <c r="K57" s="108"/>
      <c r="L57" s="108"/>
      <c r="M57" s="108"/>
      <c r="N57" s="108"/>
      <c r="O57" s="210">
        <v>0</v>
      </c>
      <c r="P57" s="136">
        <f>1-(SUM(Q57:U57)+O57)</f>
        <v>0.78</v>
      </c>
      <c r="Q57" s="210">
        <v>0.1</v>
      </c>
      <c r="R57" s="210">
        <v>0.08</v>
      </c>
      <c r="S57" s="210">
        <v>0.03</v>
      </c>
      <c r="T57" s="210">
        <v>0.01</v>
      </c>
      <c r="U57" s="210">
        <v>0</v>
      </c>
      <c r="V57" s="108"/>
      <c r="W57" s="116"/>
      <c r="X57" s="116"/>
      <c r="Y57" s="108"/>
      <c r="Z57" s="108"/>
      <c r="AA57" s="169"/>
    </row>
    <row r="58" spans="1:27" s="113" customFormat="1" ht="15.75" customHeight="1">
      <c r="A58" s="170">
        <f>A49+1</f>
        <v>20</v>
      </c>
      <c r="B58" s="97">
        <v>1</v>
      </c>
      <c r="C58" s="98"/>
      <c r="D58" s="98"/>
      <c r="E58" s="255"/>
      <c r="F58" s="255"/>
      <c r="G58" s="255"/>
      <c r="H58" s="99"/>
      <c r="I58" s="96"/>
      <c r="J58" s="96"/>
      <c r="K58" s="255"/>
      <c r="L58" s="255">
        <f>K58+M58</f>
        <v>0</v>
      </c>
      <c r="M58" s="255"/>
      <c r="N58" s="255"/>
      <c r="O58" s="255"/>
      <c r="P58" s="255"/>
      <c r="Q58" s="255"/>
      <c r="R58" s="255"/>
      <c r="S58" s="255"/>
      <c r="T58" s="255"/>
      <c r="U58" s="96"/>
      <c r="V58" s="99"/>
      <c r="W58" s="117"/>
      <c r="X58" s="117" t="e">
        <f aca="true" t="shared" si="8" ref="X58:X63">(W58/N58/24)</f>
        <v>#DIV/0!</v>
      </c>
      <c r="Y58" s="99"/>
      <c r="Z58" s="99">
        <f>(N58*24*Y58*3.44)</f>
        <v>0</v>
      </c>
      <c r="AA58" s="174"/>
    </row>
    <row r="59" spans="1:27" s="113" customFormat="1" ht="15.75" customHeight="1">
      <c r="A59" s="170">
        <f>A58+1</f>
        <v>21</v>
      </c>
      <c r="B59" s="97">
        <v>2</v>
      </c>
      <c r="C59" s="98"/>
      <c r="D59" s="98"/>
      <c r="E59" s="255"/>
      <c r="F59" s="255"/>
      <c r="G59" s="255"/>
      <c r="H59" s="99"/>
      <c r="I59" s="96"/>
      <c r="J59" s="96"/>
      <c r="K59" s="255"/>
      <c r="L59" s="255">
        <f>K59+M59</f>
        <v>0</v>
      </c>
      <c r="M59" s="255"/>
      <c r="N59" s="255"/>
      <c r="O59" s="255"/>
      <c r="P59" s="255"/>
      <c r="Q59" s="255"/>
      <c r="R59" s="255"/>
      <c r="S59" s="255"/>
      <c r="T59" s="255"/>
      <c r="U59" s="96"/>
      <c r="V59" s="99"/>
      <c r="W59" s="117"/>
      <c r="X59" s="117" t="e">
        <f t="shared" si="8"/>
        <v>#DIV/0!</v>
      </c>
      <c r="Y59" s="99"/>
      <c r="Z59" s="99">
        <f>(N59*24*Y59*3.44)</f>
        <v>0</v>
      </c>
      <c r="AA59" s="174"/>
    </row>
    <row r="60" spans="1:27" s="113" customFormat="1" ht="15.75" customHeight="1">
      <c r="A60" s="170">
        <f>A59+1</f>
        <v>22</v>
      </c>
      <c r="B60" s="97">
        <v>3</v>
      </c>
      <c r="C60" s="98"/>
      <c r="D60" s="98"/>
      <c r="E60" s="255"/>
      <c r="F60" s="255"/>
      <c r="G60" s="255"/>
      <c r="H60" s="99"/>
      <c r="I60" s="96"/>
      <c r="J60" s="96"/>
      <c r="K60" s="255"/>
      <c r="L60" s="255">
        <f>K60+M60</f>
        <v>0</v>
      </c>
      <c r="M60" s="255"/>
      <c r="N60" s="255"/>
      <c r="O60" s="255"/>
      <c r="P60" s="255"/>
      <c r="Q60" s="255"/>
      <c r="R60" s="255"/>
      <c r="S60" s="255"/>
      <c r="T60" s="255"/>
      <c r="U60" s="96"/>
      <c r="V60" s="99"/>
      <c r="W60" s="117"/>
      <c r="X60" s="117" t="e">
        <f t="shared" si="8"/>
        <v>#DIV/0!</v>
      </c>
      <c r="Y60" s="99"/>
      <c r="Z60" s="99">
        <f>(N60*24*Y60*3.44)</f>
        <v>0</v>
      </c>
      <c r="AA60" s="174"/>
    </row>
    <row r="61" spans="1:27" s="113" customFormat="1" ht="15.75" customHeight="1">
      <c r="A61" s="170">
        <f>A60+1</f>
        <v>23</v>
      </c>
      <c r="B61" s="97">
        <v>4</v>
      </c>
      <c r="C61" s="98"/>
      <c r="D61" s="98"/>
      <c r="E61" s="255"/>
      <c r="F61" s="255"/>
      <c r="G61" s="255"/>
      <c r="H61" s="99"/>
      <c r="I61" s="96"/>
      <c r="J61" s="96"/>
      <c r="K61" s="255"/>
      <c r="L61" s="255">
        <f>K61+M61</f>
        <v>0</v>
      </c>
      <c r="M61" s="255"/>
      <c r="N61" s="255"/>
      <c r="O61" s="255"/>
      <c r="P61" s="255"/>
      <c r="Q61" s="255"/>
      <c r="R61" s="255"/>
      <c r="S61" s="255"/>
      <c r="T61" s="255"/>
      <c r="U61" s="96"/>
      <c r="V61" s="99"/>
      <c r="W61" s="117"/>
      <c r="X61" s="117" t="e">
        <f t="shared" si="8"/>
        <v>#DIV/0!</v>
      </c>
      <c r="Y61" s="99"/>
      <c r="Z61" s="99">
        <f>(N61*24*Y61*3.44)</f>
        <v>0</v>
      </c>
      <c r="AA61" s="174"/>
    </row>
    <row r="62" spans="1:27" s="113" customFormat="1" ht="15.75" customHeight="1" thickBot="1">
      <c r="A62" s="170">
        <f>A61+1</f>
        <v>24</v>
      </c>
      <c r="B62" s="97">
        <v>5</v>
      </c>
      <c r="C62" s="98"/>
      <c r="D62" s="98"/>
      <c r="E62" s="255"/>
      <c r="F62" s="255"/>
      <c r="G62" s="255"/>
      <c r="H62" s="99"/>
      <c r="I62" s="96"/>
      <c r="J62" s="96"/>
      <c r="K62" s="255"/>
      <c r="L62" s="255">
        <f>K62+M62</f>
        <v>0</v>
      </c>
      <c r="M62" s="255"/>
      <c r="N62" s="255"/>
      <c r="O62" s="255"/>
      <c r="P62" s="255"/>
      <c r="Q62" s="255"/>
      <c r="R62" s="255"/>
      <c r="S62" s="255"/>
      <c r="T62" s="255"/>
      <c r="U62" s="96"/>
      <c r="V62" s="99"/>
      <c r="W62" s="117"/>
      <c r="X62" s="117" t="e">
        <f t="shared" si="8"/>
        <v>#DIV/0!</v>
      </c>
      <c r="Y62" s="99"/>
      <c r="Z62" s="99">
        <f>(N62*24*Y62*3.44)</f>
        <v>0</v>
      </c>
      <c r="AA62" s="174"/>
    </row>
    <row r="63" spans="1:27" s="109" customFormat="1" ht="15.75" customHeight="1">
      <c r="A63" s="148" t="s">
        <v>129</v>
      </c>
      <c r="B63" s="149"/>
      <c r="C63" s="149"/>
      <c r="D63" s="149"/>
      <c r="E63" s="254">
        <f>SUM(E58:E62)/B62</f>
        <v>0</v>
      </c>
      <c r="F63" s="254">
        <f>SUM(F58:F62)/B62</f>
        <v>0</v>
      </c>
      <c r="G63" s="254">
        <f>SUM(G58:G62)/B62</f>
        <v>0</v>
      </c>
      <c r="H63" s="141">
        <f>SUM(H58:H62)/B62</f>
        <v>0</v>
      </c>
      <c r="I63" s="150">
        <f>SUM(I58:I62)/B62</f>
        <v>0</v>
      </c>
      <c r="J63" s="149"/>
      <c r="K63" s="254">
        <f>SUM(K58:K62)/B62</f>
        <v>0</v>
      </c>
      <c r="L63" s="254">
        <f>SUM(L58:L62)/B62</f>
        <v>0</v>
      </c>
      <c r="M63" s="254">
        <f>SUM(M58:M62)</f>
        <v>0</v>
      </c>
      <c r="N63" s="254">
        <f>SUM(N58:N62)</f>
        <v>0</v>
      </c>
      <c r="O63" s="254">
        <f>O56-SUM(O58:O62)</f>
        <v>0</v>
      </c>
      <c r="P63" s="254">
        <f>P56-SUM(P58:P62)</f>
        <v>0.3742916666666667</v>
      </c>
      <c r="Q63" s="254">
        <f>Q56-SUM(Q58:Q62)</f>
        <v>0.04798611111111112</v>
      </c>
      <c r="R63" s="254">
        <f>R56-SUM(R58:R62)</f>
        <v>0.03838888888888889</v>
      </c>
      <c r="S63" s="254">
        <f>S56-SUM(S58:S62)</f>
        <v>0.014395833333333333</v>
      </c>
      <c r="T63" s="254">
        <f>T56-SUM(T58:T62)</f>
        <v>0.004798611111111111</v>
      </c>
      <c r="U63" s="254">
        <f>U56-SUM(U58:U62)</f>
        <v>0</v>
      </c>
      <c r="V63" s="143" t="e">
        <f>(M58*V58+M59*V59+M60*V60+#REF!*#REF!+#REF!*#REF!+M61*V61+M62*V62)/M63</f>
        <v>#REF!</v>
      </c>
      <c r="W63" s="142">
        <f>SUM(W58:W62)</f>
        <v>0</v>
      </c>
      <c r="X63" s="142" t="e">
        <f t="shared" si="8"/>
        <v>#DIV/0!</v>
      </c>
      <c r="Y63" s="143" t="e">
        <f>(Y58*N58+Y59*N59+Y60*N60+#REF!*#REF!+#REF!*#REF!+Y61*N61+Y62*N62)/N63</f>
        <v>#REF!</v>
      </c>
      <c r="Z63" s="141">
        <f>SUM(Z58:Z62)</f>
        <v>0</v>
      </c>
      <c r="AA63" s="151"/>
    </row>
    <row r="64" spans="1:27" s="109" customFormat="1" ht="15.75" customHeight="1" thickBot="1">
      <c r="A64" s="152" t="s">
        <v>9</v>
      </c>
      <c r="B64" s="112">
        <f>B62-B56</f>
        <v>0</v>
      </c>
      <c r="C64" s="108"/>
      <c r="D64" s="108"/>
      <c r="E64" s="125"/>
      <c r="F64" s="108"/>
      <c r="G64" s="226">
        <f>G56-G63</f>
        <v>0.3333333333333333</v>
      </c>
      <c r="H64" s="129">
        <f>H56-H63</f>
        <v>150</v>
      </c>
      <c r="I64" s="108"/>
      <c r="J64" s="108"/>
      <c r="K64" s="108"/>
      <c r="L64" s="108"/>
      <c r="M64" s="108"/>
      <c r="N64" s="108"/>
      <c r="O64" s="196" t="e">
        <f>SUM(O58:O62)/N63</f>
        <v>#DIV/0!</v>
      </c>
      <c r="P64" s="196" t="e">
        <f>SUM(P58:P62)/N63</f>
        <v>#DIV/0!</v>
      </c>
      <c r="Q64" s="196" t="e">
        <f>SUM(Q58:Q62)/N63</f>
        <v>#DIV/0!</v>
      </c>
      <c r="R64" s="196" t="e">
        <f>SUM(R58:R62)/N63</f>
        <v>#DIV/0!</v>
      </c>
      <c r="S64" s="196" t="e">
        <f>SUM(S58:S62)/N63</f>
        <v>#DIV/0!</v>
      </c>
      <c r="T64" s="196" t="e">
        <f>SUM(T58:T62)/N63</f>
        <v>#DIV/0!</v>
      </c>
      <c r="U64" s="196" t="e">
        <f>SUM(U58:U62)/N63</f>
        <v>#DIV/0!</v>
      </c>
      <c r="V64" s="108"/>
      <c r="W64" s="108"/>
      <c r="X64" s="108"/>
      <c r="Y64" s="108"/>
      <c r="Z64" s="108"/>
      <c r="AA64" s="153"/>
    </row>
    <row r="65" ht="13.5" thickBot="1"/>
    <row r="66" spans="1:27" ht="15.75" customHeight="1" thickBot="1">
      <c r="A66" s="154" t="s">
        <v>44</v>
      </c>
      <c r="B66" s="155">
        <f>B53+1</f>
        <v>6</v>
      </c>
      <c r="C66" s="156" t="s">
        <v>104</v>
      </c>
      <c r="D66" s="157"/>
      <c r="E66" s="253">
        <f>E53+7</f>
        <v>38396</v>
      </c>
      <c r="F66" s="158"/>
      <c r="G66" s="158"/>
      <c r="H66" s="158"/>
      <c r="I66" s="158"/>
      <c r="J66" s="158"/>
      <c r="K66" s="144"/>
      <c r="L66" s="144"/>
      <c r="M66" s="159" t="s">
        <v>103</v>
      </c>
      <c r="N66" s="159"/>
      <c r="O66" s="159"/>
      <c r="P66" s="159"/>
      <c r="Q66" s="159"/>
      <c r="R66" s="159"/>
      <c r="S66" s="159"/>
      <c r="T66" s="159"/>
      <c r="U66" s="159"/>
      <c r="V66" s="158"/>
      <c r="W66" s="160"/>
      <c r="X66" s="160"/>
      <c r="Y66" s="158"/>
      <c r="Z66" s="158"/>
      <c r="AA66" s="161"/>
    </row>
    <row r="67" spans="1:27" ht="12.75">
      <c r="A67" s="230" t="s">
        <v>126</v>
      </c>
      <c r="B67" s="43"/>
      <c r="C67" s="33"/>
      <c r="D67" s="33"/>
      <c r="E67" s="162"/>
      <c r="F67" s="27"/>
      <c r="G67" s="27"/>
      <c r="H67" s="27"/>
      <c r="I67" s="27"/>
      <c r="J67" s="27"/>
      <c r="K67" s="27"/>
      <c r="L67" s="27"/>
      <c r="M67" s="27"/>
      <c r="N67" s="42"/>
      <c r="O67" s="43" t="s">
        <v>118</v>
      </c>
      <c r="P67" s="43"/>
      <c r="Q67" s="43"/>
      <c r="R67" s="43"/>
      <c r="S67" s="43"/>
      <c r="T67" s="43"/>
      <c r="U67" s="43"/>
      <c r="V67" s="27"/>
      <c r="W67" s="163"/>
      <c r="X67" s="163"/>
      <c r="Y67" s="27"/>
      <c r="Z67" s="27"/>
      <c r="AA67" s="164"/>
    </row>
    <row r="68" spans="1:27" s="127" customFormat="1" ht="16.5" thickBot="1">
      <c r="A68" s="165" t="s">
        <v>106</v>
      </c>
      <c r="B68" s="100" t="s">
        <v>107</v>
      </c>
      <c r="C68" s="100" t="s">
        <v>108</v>
      </c>
      <c r="D68" s="100" t="s">
        <v>109</v>
      </c>
      <c r="E68" s="126" t="s">
        <v>124</v>
      </c>
      <c r="F68" s="100" t="s">
        <v>125</v>
      </c>
      <c r="G68" s="100" t="s">
        <v>110</v>
      </c>
      <c r="H68" s="100" t="s">
        <v>111</v>
      </c>
      <c r="I68" s="100" t="s">
        <v>112</v>
      </c>
      <c r="J68" s="100" t="s">
        <v>113</v>
      </c>
      <c r="K68" s="100" t="s">
        <v>114</v>
      </c>
      <c r="L68" s="100" t="s">
        <v>115</v>
      </c>
      <c r="M68" s="100" t="s">
        <v>116</v>
      </c>
      <c r="N68" s="100" t="s">
        <v>117</v>
      </c>
      <c r="O68" s="100" t="s">
        <v>5</v>
      </c>
      <c r="P68" s="100" t="s">
        <v>1</v>
      </c>
      <c r="Q68" s="100" t="s">
        <v>2</v>
      </c>
      <c r="R68" s="100" t="s">
        <v>3</v>
      </c>
      <c r="S68" s="100" t="s">
        <v>7</v>
      </c>
      <c r="T68" s="100" t="s">
        <v>8</v>
      </c>
      <c r="U68" s="100" t="s">
        <v>40</v>
      </c>
      <c r="V68" s="100" t="s">
        <v>119</v>
      </c>
      <c r="W68" s="118" t="s">
        <v>120</v>
      </c>
      <c r="X68" s="118" t="s">
        <v>121</v>
      </c>
      <c r="Y68" s="100" t="s">
        <v>122</v>
      </c>
      <c r="Z68" s="100" t="s">
        <v>6</v>
      </c>
      <c r="AA68" s="153" t="s">
        <v>123</v>
      </c>
    </row>
    <row r="69" spans="1:27" s="81" customFormat="1" ht="12.75" customHeight="1" thickBot="1">
      <c r="A69" s="166" t="s">
        <v>105</v>
      </c>
      <c r="B69" s="208">
        <v>4</v>
      </c>
      <c r="C69" s="104"/>
      <c r="D69" s="104"/>
      <c r="E69" s="124"/>
      <c r="F69" s="105"/>
      <c r="G69" s="227">
        <v>0.3333333333333333</v>
      </c>
      <c r="H69" s="66">
        <v>150</v>
      </c>
      <c r="I69" s="105"/>
      <c r="J69" s="105"/>
      <c r="K69" s="105"/>
      <c r="L69" s="105"/>
      <c r="M69" s="106"/>
      <c r="N69" s="207">
        <v>0.3673611111111111</v>
      </c>
      <c r="O69" s="227">
        <f aca="true" t="shared" si="9" ref="O69:U69">$N69*O70</f>
        <v>0</v>
      </c>
      <c r="P69" s="228">
        <f t="shared" si="9"/>
        <v>0.2791944444444444</v>
      </c>
      <c r="Q69" s="227">
        <f t="shared" si="9"/>
        <v>0.03673611111111111</v>
      </c>
      <c r="R69" s="227">
        <f t="shared" si="9"/>
        <v>0.033062499999999995</v>
      </c>
      <c r="S69" s="227">
        <f t="shared" si="9"/>
        <v>0.014694444444444444</v>
      </c>
      <c r="T69" s="227">
        <f t="shared" si="9"/>
        <v>0.003673611111111111</v>
      </c>
      <c r="U69" s="227">
        <f t="shared" si="9"/>
        <v>0</v>
      </c>
      <c r="V69" s="105"/>
      <c r="W69" s="115"/>
      <c r="X69" s="115"/>
      <c r="Y69" s="105"/>
      <c r="Z69" s="105"/>
      <c r="AA69" s="167"/>
    </row>
    <row r="70" spans="1:27" s="81" customFormat="1" ht="12.75" customHeight="1" thickBot="1">
      <c r="A70" s="168"/>
      <c r="B70" s="107"/>
      <c r="C70" s="107"/>
      <c r="D70" s="107"/>
      <c r="E70" s="125"/>
      <c r="F70" s="108"/>
      <c r="G70" s="108"/>
      <c r="H70" s="108"/>
      <c r="I70" s="108"/>
      <c r="J70" s="108"/>
      <c r="K70" s="108"/>
      <c r="L70" s="108"/>
      <c r="M70" s="108"/>
      <c r="N70" s="108"/>
      <c r="O70" s="210">
        <v>0</v>
      </c>
      <c r="P70" s="136">
        <f>1-(SUM(Q70:U70)+O70)</f>
        <v>0.76</v>
      </c>
      <c r="Q70" s="210">
        <v>0.1</v>
      </c>
      <c r="R70" s="210">
        <v>0.09</v>
      </c>
      <c r="S70" s="210">
        <v>0.04</v>
      </c>
      <c r="T70" s="210">
        <v>0.01</v>
      </c>
      <c r="U70" s="210">
        <v>0</v>
      </c>
      <c r="V70" s="108"/>
      <c r="W70" s="116"/>
      <c r="X70" s="116"/>
      <c r="Y70" s="108"/>
      <c r="Z70" s="108"/>
      <c r="AA70" s="169"/>
    </row>
    <row r="71" spans="1:27" s="113" customFormat="1" ht="15.75" customHeight="1">
      <c r="A71" s="170">
        <f>A62+1</f>
        <v>25</v>
      </c>
      <c r="B71" s="97">
        <v>1</v>
      </c>
      <c r="C71" s="98"/>
      <c r="D71" s="98"/>
      <c r="E71" s="255"/>
      <c r="F71" s="255"/>
      <c r="G71" s="255"/>
      <c r="H71" s="99"/>
      <c r="I71" s="96"/>
      <c r="J71" s="96"/>
      <c r="K71" s="255"/>
      <c r="L71" s="255">
        <f>K71+M71</f>
        <v>0</v>
      </c>
      <c r="M71" s="255"/>
      <c r="N71" s="255"/>
      <c r="O71" s="255"/>
      <c r="P71" s="255"/>
      <c r="Q71" s="255"/>
      <c r="R71" s="255"/>
      <c r="S71" s="255"/>
      <c r="T71" s="255"/>
      <c r="U71" s="96"/>
      <c r="V71" s="99"/>
      <c r="W71" s="117"/>
      <c r="X71" s="117" t="e">
        <f>(W71/N71/24)</f>
        <v>#DIV/0!</v>
      </c>
      <c r="Y71" s="99"/>
      <c r="Z71" s="99">
        <f>(N71*24*Y71*3.44)</f>
        <v>0</v>
      </c>
      <c r="AA71" s="174"/>
    </row>
    <row r="72" spans="1:27" s="113" customFormat="1" ht="15.75" customHeight="1">
      <c r="A72" s="170">
        <f>A71+1</f>
        <v>26</v>
      </c>
      <c r="B72" s="97">
        <v>2</v>
      </c>
      <c r="C72" s="98"/>
      <c r="D72" s="98"/>
      <c r="E72" s="255"/>
      <c r="F72" s="255"/>
      <c r="G72" s="255"/>
      <c r="H72" s="99"/>
      <c r="I72" s="96"/>
      <c r="J72" s="96"/>
      <c r="K72" s="255"/>
      <c r="L72" s="255">
        <f>K72+M72</f>
        <v>0</v>
      </c>
      <c r="M72" s="255"/>
      <c r="N72" s="255"/>
      <c r="O72" s="255"/>
      <c r="P72" s="255"/>
      <c r="Q72" s="255"/>
      <c r="R72" s="255"/>
      <c r="S72" s="255"/>
      <c r="T72" s="255"/>
      <c r="U72" s="96"/>
      <c r="V72" s="99"/>
      <c r="W72" s="117"/>
      <c r="X72" s="117" t="e">
        <f>(W72/N72/24)</f>
        <v>#DIV/0!</v>
      </c>
      <c r="Y72" s="99"/>
      <c r="Z72" s="99">
        <f>(N72*24*Y72*3.44)</f>
        <v>0</v>
      </c>
      <c r="AA72" s="174"/>
    </row>
    <row r="73" spans="1:27" s="113" customFormat="1" ht="15.75" customHeight="1">
      <c r="A73" s="170">
        <f>A72+1</f>
        <v>27</v>
      </c>
      <c r="B73" s="97">
        <v>3</v>
      </c>
      <c r="C73" s="98"/>
      <c r="D73" s="98"/>
      <c r="E73" s="255"/>
      <c r="F73" s="255"/>
      <c r="G73" s="255"/>
      <c r="H73" s="99"/>
      <c r="I73" s="96"/>
      <c r="J73" s="96"/>
      <c r="K73" s="255"/>
      <c r="L73" s="255">
        <f>K73+M73</f>
        <v>0</v>
      </c>
      <c r="M73" s="255"/>
      <c r="N73" s="255"/>
      <c r="O73" s="255"/>
      <c r="P73" s="255"/>
      <c r="Q73" s="255"/>
      <c r="R73" s="255"/>
      <c r="S73" s="255"/>
      <c r="T73" s="255"/>
      <c r="U73" s="96"/>
      <c r="V73" s="99"/>
      <c r="W73" s="117"/>
      <c r="X73" s="117" t="e">
        <f>(W73/N73/24)</f>
        <v>#DIV/0!</v>
      </c>
      <c r="Y73" s="99"/>
      <c r="Z73" s="99">
        <f>(N73*24*Y73*3.44)</f>
        <v>0</v>
      </c>
      <c r="AA73" s="174"/>
    </row>
    <row r="74" spans="1:27" s="113" customFormat="1" ht="15.75" customHeight="1" thickBot="1">
      <c r="A74" s="170">
        <f>A73+1</f>
        <v>28</v>
      </c>
      <c r="B74" s="97">
        <v>4</v>
      </c>
      <c r="C74" s="98"/>
      <c r="D74" s="98"/>
      <c r="E74" s="255"/>
      <c r="F74" s="255"/>
      <c r="G74" s="255"/>
      <c r="H74" s="99"/>
      <c r="I74" s="96"/>
      <c r="J74" s="96"/>
      <c r="K74" s="255"/>
      <c r="L74" s="255">
        <f>K74+M74</f>
        <v>0</v>
      </c>
      <c r="M74" s="255"/>
      <c r="N74" s="255"/>
      <c r="O74" s="255"/>
      <c r="P74" s="255"/>
      <c r="Q74" s="255"/>
      <c r="R74" s="255"/>
      <c r="S74" s="255"/>
      <c r="T74" s="255"/>
      <c r="U74" s="96"/>
      <c r="V74" s="99"/>
      <c r="W74" s="117"/>
      <c r="X74" s="117" t="e">
        <f>(W74/N74/24)</f>
        <v>#DIV/0!</v>
      </c>
      <c r="Y74" s="99"/>
      <c r="Z74" s="99">
        <f>(N74*24*Y74*3.44)</f>
        <v>0</v>
      </c>
      <c r="AA74" s="174"/>
    </row>
    <row r="75" spans="1:27" s="109" customFormat="1" ht="15.75" customHeight="1">
      <c r="A75" s="148" t="s">
        <v>129</v>
      </c>
      <c r="B75" s="149"/>
      <c r="C75" s="149"/>
      <c r="D75" s="149"/>
      <c r="E75" s="254">
        <f>SUM(E71:E74)/B74</f>
        <v>0</v>
      </c>
      <c r="F75" s="254">
        <f>SUM(F71:F74)/B74</f>
        <v>0</v>
      </c>
      <c r="G75" s="254">
        <f>SUM(G71:G74)/B74</f>
        <v>0</v>
      </c>
      <c r="H75" s="141">
        <f>SUM(H71:H74)/B74</f>
        <v>0</v>
      </c>
      <c r="I75" s="150">
        <f>SUM(I71:I74)/B74</f>
        <v>0</v>
      </c>
      <c r="J75" s="149"/>
      <c r="K75" s="254">
        <f>SUM(K71:K74)/B74</f>
        <v>0</v>
      </c>
      <c r="L75" s="254">
        <f>SUM(L71:L74)/B74</f>
        <v>0</v>
      </c>
      <c r="M75" s="254">
        <f>SUM(M71:M74)</f>
        <v>0</v>
      </c>
      <c r="N75" s="254">
        <f>SUM(N71:N74)</f>
        <v>0</v>
      </c>
      <c r="O75" s="254">
        <f>O69-SUM(O71:O74)</f>
        <v>0</v>
      </c>
      <c r="P75" s="254">
        <f>P69-SUM(P71:P74)</f>
        <v>0.2791944444444444</v>
      </c>
      <c r="Q75" s="254">
        <f>Q69-SUM(Q71:Q74)</f>
        <v>0.03673611111111111</v>
      </c>
      <c r="R75" s="254">
        <f>R69-SUM(R71:R74)</f>
        <v>0.033062499999999995</v>
      </c>
      <c r="S75" s="254">
        <f>S69-SUM(S71:S74)</f>
        <v>0.014694444444444444</v>
      </c>
      <c r="T75" s="254">
        <f>T69-SUM(T71:T74)</f>
        <v>0.003673611111111111</v>
      </c>
      <c r="U75" s="254">
        <f>U69-SUM(U71:U74)</f>
        <v>0</v>
      </c>
      <c r="V75" s="143" t="e">
        <f>(M71*V71+M72*V72+#REF!*#REF!+#REF!*#REF!+#REF!*#REF!+M73*V73+M74*V74)/M75</f>
        <v>#REF!</v>
      </c>
      <c r="W75" s="142">
        <f>SUM(W71:W74)</f>
        <v>0</v>
      </c>
      <c r="X75" s="142" t="e">
        <f>(W75/N75/24)</f>
        <v>#DIV/0!</v>
      </c>
      <c r="Y75" s="143" t="e">
        <f>(Y71*N71+Y72*N72+#REF!*#REF!+#REF!*#REF!+#REF!*#REF!+Y73*N73+Y74*N74)/N75</f>
        <v>#REF!</v>
      </c>
      <c r="Z75" s="141">
        <f>SUM(Z71:Z74)</f>
        <v>0</v>
      </c>
      <c r="AA75" s="151"/>
    </row>
    <row r="76" spans="1:27" s="109" customFormat="1" ht="15.75" customHeight="1" thickBot="1">
      <c r="A76" s="152" t="s">
        <v>9</v>
      </c>
      <c r="B76" s="112">
        <f>B74-B69</f>
        <v>0</v>
      </c>
      <c r="C76" s="108"/>
      <c r="D76" s="108"/>
      <c r="E76" s="125"/>
      <c r="F76" s="108"/>
      <c r="G76" s="226">
        <f>G69-G75</f>
        <v>0.3333333333333333</v>
      </c>
      <c r="H76" s="129">
        <f>H69-H75</f>
        <v>150</v>
      </c>
      <c r="I76" s="108"/>
      <c r="J76" s="108"/>
      <c r="K76" s="108"/>
      <c r="L76" s="108"/>
      <c r="M76" s="108"/>
      <c r="N76" s="108"/>
      <c r="O76" s="196" t="e">
        <f>SUM(O71:O74)/N75</f>
        <v>#DIV/0!</v>
      </c>
      <c r="P76" s="196" t="e">
        <f>SUM(P71:P74)/N75</f>
        <v>#DIV/0!</v>
      </c>
      <c r="Q76" s="196" t="e">
        <f>SUM(Q71:Q74)/N75</f>
        <v>#DIV/0!</v>
      </c>
      <c r="R76" s="196" t="e">
        <f>SUM(R71:R74)/N75</f>
        <v>#DIV/0!</v>
      </c>
      <c r="S76" s="196" t="e">
        <f>SUM(S71:S74)/N75</f>
        <v>#DIV/0!</v>
      </c>
      <c r="T76" s="196" t="e">
        <f>SUM(T71:T74)/N75</f>
        <v>#DIV/0!</v>
      </c>
      <c r="U76" s="196" t="e">
        <f>SUM(U71:U74)/N75</f>
        <v>#DIV/0!</v>
      </c>
      <c r="V76" s="108"/>
      <c r="W76" s="108"/>
      <c r="X76" s="108"/>
      <c r="Y76" s="108"/>
      <c r="Z76" s="108"/>
      <c r="AA76" s="153"/>
    </row>
  </sheetData>
  <printOptions verticalCentered="1"/>
  <pageMargins left="1" right="0" top="0" bottom="0" header="0" footer="0"/>
  <pageSetup horizontalDpi="600" verticalDpi="600" orientation="landscape" scale="52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"/>
  <sheetViews>
    <sheetView zoomScale="120" zoomScaleNormal="120" zoomScaleSheetLayoutView="115" workbookViewId="0" topLeftCell="A1">
      <selection activeCell="A1" sqref="A1"/>
    </sheetView>
  </sheetViews>
  <sheetFormatPr defaultColWidth="9.140625" defaultRowHeight="12.75"/>
  <cols>
    <col min="1" max="1" width="6.57421875" style="5" customWidth="1"/>
    <col min="2" max="2" width="3.421875" style="5" bestFit="1" customWidth="1"/>
    <col min="3" max="4" width="4.00390625" style="4" customWidth="1"/>
    <col min="5" max="5" width="8.8515625" style="123" customWidth="1"/>
    <col min="6" max="6" width="7.00390625" style="5" bestFit="1" customWidth="1"/>
    <col min="7" max="7" width="4.421875" style="5" bestFit="1" customWidth="1"/>
    <col min="8" max="8" width="3.8515625" style="5" customWidth="1"/>
    <col min="9" max="9" width="5.28125" style="5" customWidth="1"/>
    <col min="10" max="10" width="4.00390625" style="5" bestFit="1" customWidth="1"/>
    <col min="11" max="12" width="6.7109375" style="5" customWidth="1"/>
    <col min="13" max="13" width="5.57421875" style="5" customWidth="1"/>
    <col min="14" max="21" width="5.57421875" style="2" customWidth="1"/>
    <col min="22" max="22" width="4.421875" style="5" customWidth="1"/>
    <col min="23" max="23" width="4.28125" style="110" bestFit="1" customWidth="1"/>
    <col min="24" max="24" width="4.8515625" style="110" customWidth="1"/>
    <col min="25" max="26" width="3.7109375" style="5" customWidth="1"/>
    <col min="27" max="27" width="80.7109375" style="4" customWidth="1"/>
    <col min="28" max="16384" width="9.140625" style="25" customWidth="1"/>
  </cols>
  <sheetData>
    <row r="1" spans="5:27" s="109" customFormat="1" ht="15" customHeight="1" thickBot="1">
      <c r="E1" s="122"/>
      <c r="W1" s="114"/>
      <c r="X1" s="114"/>
      <c r="AA1" s="119"/>
    </row>
    <row r="2" spans="1:27" ht="15.75" customHeight="1" thickBot="1">
      <c r="A2" s="154" t="s">
        <v>44</v>
      </c>
      <c r="B2" s="155">
        <v>1</v>
      </c>
      <c r="C2" s="156" t="s">
        <v>104</v>
      </c>
      <c r="D2" s="157"/>
      <c r="E2" s="257">
        <v>38361</v>
      </c>
      <c r="F2" s="158"/>
      <c r="G2" s="158"/>
      <c r="H2" s="158"/>
      <c r="I2" s="158"/>
      <c r="J2" s="158"/>
      <c r="K2" s="144"/>
      <c r="L2" s="144"/>
      <c r="M2" s="159" t="s">
        <v>103</v>
      </c>
      <c r="N2" s="159"/>
      <c r="O2" s="159"/>
      <c r="P2" s="159"/>
      <c r="Q2" s="159"/>
      <c r="R2" s="159"/>
      <c r="S2" s="159"/>
      <c r="T2" s="159"/>
      <c r="U2" s="159"/>
      <c r="V2" s="158"/>
      <c r="W2" s="160"/>
      <c r="X2" s="160"/>
      <c r="Y2" s="158"/>
      <c r="Z2" s="158"/>
      <c r="AA2" s="161"/>
    </row>
    <row r="3" spans="1:27" ht="12.75">
      <c r="A3" s="230" t="s">
        <v>126</v>
      </c>
      <c r="B3" s="43"/>
      <c r="C3" s="33"/>
      <c r="D3" s="33"/>
      <c r="E3" s="162"/>
      <c r="F3" s="27"/>
      <c r="G3" s="27"/>
      <c r="H3" s="27"/>
      <c r="I3" s="209"/>
      <c r="J3" s="27"/>
      <c r="K3" s="27"/>
      <c r="L3" s="27"/>
      <c r="M3" s="27"/>
      <c r="N3" s="42"/>
      <c r="O3" s="43" t="s">
        <v>118</v>
      </c>
      <c r="P3" s="43"/>
      <c r="Q3" s="43"/>
      <c r="R3" s="43"/>
      <c r="S3" s="43"/>
      <c r="T3" s="43"/>
      <c r="U3" s="43"/>
      <c r="V3" s="27"/>
      <c r="W3" s="163"/>
      <c r="X3" s="163"/>
      <c r="Y3" s="27"/>
      <c r="Z3" s="27"/>
      <c r="AA3" s="164"/>
    </row>
    <row r="4" spans="1:27" s="127" customFormat="1" ht="16.5" thickBot="1">
      <c r="A4" s="165" t="s">
        <v>106</v>
      </c>
      <c r="B4" s="100" t="s">
        <v>107</v>
      </c>
      <c r="C4" s="100" t="s">
        <v>108</v>
      </c>
      <c r="D4" s="100" t="s">
        <v>109</v>
      </c>
      <c r="E4" s="126" t="s">
        <v>124</v>
      </c>
      <c r="F4" s="100" t="s">
        <v>125</v>
      </c>
      <c r="G4" s="100" t="s">
        <v>110</v>
      </c>
      <c r="H4" s="100" t="s">
        <v>111</v>
      </c>
      <c r="I4" s="100" t="s">
        <v>112</v>
      </c>
      <c r="J4" s="100" t="s">
        <v>113</v>
      </c>
      <c r="K4" s="100" t="s">
        <v>114</v>
      </c>
      <c r="L4" s="100" t="s">
        <v>115</v>
      </c>
      <c r="M4" s="100" t="s">
        <v>116</v>
      </c>
      <c r="N4" s="100" t="s">
        <v>117</v>
      </c>
      <c r="O4" s="100" t="s">
        <v>5</v>
      </c>
      <c r="P4" s="100" t="s">
        <v>1</v>
      </c>
      <c r="Q4" s="100" t="s">
        <v>2</v>
      </c>
      <c r="R4" s="100" t="s">
        <v>3</v>
      </c>
      <c r="S4" s="100" t="s">
        <v>7</v>
      </c>
      <c r="T4" s="100" t="s">
        <v>8</v>
      </c>
      <c r="U4" s="100" t="s">
        <v>40</v>
      </c>
      <c r="V4" s="100" t="s">
        <v>119</v>
      </c>
      <c r="W4" s="118" t="s">
        <v>120</v>
      </c>
      <c r="X4" s="118" t="s">
        <v>121</v>
      </c>
      <c r="Y4" s="100" t="s">
        <v>122</v>
      </c>
      <c r="Z4" s="100" t="s">
        <v>6</v>
      </c>
      <c r="AA4" s="153" t="s">
        <v>123</v>
      </c>
    </row>
    <row r="5" spans="1:27" s="81" customFormat="1" ht="12.75" customHeight="1">
      <c r="A5" s="166" t="s">
        <v>105</v>
      </c>
      <c r="B5" s="66">
        <v>3</v>
      </c>
      <c r="C5" s="104"/>
      <c r="D5" s="104"/>
      <c r="E5" s="124"/>
      <c r="F5" s="105"/>
      <c r="G5" s="227">
        <v>0.3333333333333333</v>
      </c>
      <c r="H5" s="66">
        <v>150</v>
      </c>
      <c r="I5" s="105"/>
      <c r="J5" s="105"/>
      <c r="K5" s="105"/>
      <c r="L5" s="105"/>
      <c r="M5" s="106"/>
      <c r="N5" s="227">
        <v>0.05069444444444445</v>
      </c>
      <c r="O5" s="227">
        <f aca="true" t="shared" si="0" ref="O5:U5">$N5*O6</f>
        <v>0</v>
      </c>
      <c r="P5" s="227">
        <f t="shared" si="0"/>
        <v>0.010138888888888893</v>
      </c>
      <c r="Q5" s="227">
        <f t="shared" si="0"/>
        <v>0.035486111111111114</v>
      </c>
      <c r="R5" s="227">
        <f t="shared" si="0"/>
        <v>0.005069444444444446</v>
      </c>
      <c r="S5" s="227">
        <f t="shared" si="0"/>
        <v>0</v>
      </c>
      <c r="T5" s="227">
        <f t="shared" si="0"/>
        <v>0</v>
      </c>
      <c r="U5" s="227">
        <f t="shared" si="0"/>
        <v>0</v>
      </c>
      <c r="V5" s="105"/>
      <c r="W5" s="115"/>
      <c r="X5" s="115"/>
      <c r="Y5" s="105"/>
      <c r="Z5" s="105"/>
      <c r="AA5" s="167"/>
    </row>
    <row r="6" spans="1:27" s="81" customFormat="1" ht="12.75" customHeight="1" thickBot="1">
      <c r="A6" s="168"/>
      <c r="B6" s="107"/>
      <c r="C6" s="107"/>
      <c r="D6" s="107"/>
      <c r="E6" s="125"/>
      <c r="F6" s="108"/>
      <c r="G6" s="108"/>
      <c r="H6" s="108"/>
      <c r="I6" s="108"/>
      <c r="J6" s="108"/>
      <c r="K6" s="108"/>
      <c r="L6" s="108"/>
      <c r="M6" s="108"/>
      <c r="N6" s="108"/>
      <c r="O6" s="136">
        <v>0</v>
      </c>
      <c r="P6" s="136">
        <f>1-(SUM(Q6:U6)+O6)</f>
        <v>0.20000000000000007</v>
      </c>
      <c r="Q6" s="136">
        <v>0.7</v>
      </c>
      <c r="R6" s="136">
        <v>0.1</v>
      </c>
      <c r="S6" s="136">
        <v>0</v>
      </c>
      <c r="T6" s="136">
        <v>0</v>
      </c>
      <c r="U6" s="136">
        <v>0</v>
      </c>
      <c r="V6" s="108"/>
      <c r="W6" s="116"/>
      <c r="X6" s="116"/>
      <c r="Y6" s="108"/>
      <c r="Z6" s="108"/>
      <c r="AA6" s="169"/>
    </row>
    <row r="7" spans="1:27" s="113" customFormat="1" ht="15.75" customHeight="1">
      <c r="A7" s="170">
        <v>1</v>
      </c>
      <c r="B7" s="97">
        <v>1</v>
      </c>
      <c r="C7" s="98"/>
      <c r="D7" s="98"/>
      <c r="E7" s="255"/>
      <c r="F7" s="255"/>
      <c r="G7" s="255"/>
      <c r="H7" s="99">
        <v>13</v>
      </c>
      <c r="I7" s="96"/>
      <c r="J7" s="96"/>
      <c r="K7" s="255"/>
      <c r="L7" s="255">
        <f>K7+M7</f>
        <v>0</v>
      </c>
      <c r="M7" s="255"/>
      <c r="N7" s="255"/>
      <c r="O7" s="255"/>
      <c r="P7" s="255"/>
      <c r="Q7" s="255"/>
      <c r="R7" s="255"/>
      <c r="S7" s="255"/>
      <c r="T7" s="255"/>
      <c r="U7" s="96"/>
      <c r="V7" s="99"/>
      <c r="W7" s="117"/>
      <c r="X7" s="117" t="e">
        <f>(W7/N7/24)</f>
        <v>#DIV/0!</v>
      </c>
      <c r="Y7" s="99"/>
      <c r="Z7" s="99">
        <f>(N7*24*Y7*3.44)</f>
        <v>0</v>
      </c>
      <c r="AA7" s="174"/>
    </row>
    <row r="8" spans="1:27" s="113" customFormat="1" ht="15.75" customHeight="1">
      <c r="A8" s="170">
        <f>A7+1</f>
        <v>2</v>
      </c>
      <c r="B8" s="97">
        <v>2</v>
      </c>
      <c r="C8" s="98"/>
      <c r="D8" s="98"/>
      <c r="E8" s="255"/>
      <c r="F8" s="255"/>
      <c r="G8" s="255"/>
      <c r="H8" s="99">
        <v>13</v>
      </c>
      <c r="I8" s="96"/>
      <c r="J8" s="96"/>
      <c r="K8" s="255"/>
      <c r="L8" s="255">
        <f>K8+M8</f>
        <v>0</v>
      </c>
      <c r="M8" s="255"/>
      <c r="N8" s="255"/>
      <c r="O8" s="255"/>
      <c r="P8" s="255"/>
      <c r="Q8" s="255"/>
      <c r="R8" s="255"/>
      <c r="S8" s="255"/>
      <c r="T8" s="255"/>
      <c r="U8" s="96"/>
      <c r="V8" s="99"/>
      <c r="W8" s="117"/>
      <c r="X8" s="117" t="e">
        <f>(W8/N8/24)</f>
        <v>#DIV/0!</v>
      </c>
      <c r="Y8" s="99"/>
      <c r="Z8" s="99">
        <f>(N8*24*Y8*3.44)</f>
        <v>0</v>
      </c>
      <c r="AA8" s="174"/>
    </row>
    <row r="9" spans="1:27" s="113" customFormat="1" ht="15.75" customHeight="1" thickBot="1">
      <c r="A9" s="170">
        <f>A8+1</f>
        <v>3</v>
      </c>
      <c r="B9" s="97">
        <v>3</v>
      </c>
      <c r="C9" s="98"/>
      <c r="D9" s="98"/>
      <c r="E9" s="255"/>
      <c r="F9" s="255"/>
      <c r="G9" s="255"/>
      <c r="H9" s="99">
        <v>13</v>
      </c>
      <c r="I9" s="96"/>
      <c r="J9" s="96"/>
      <c r="K9" s="255"/>
      <c r="L9" s="255">
        <f>K9+M9</f>
        <v>0</v>
      </c>
      <c r="M9" s="255"/>
      <c r="N9" s="255"/>
      <c r="O9" s="255"/>
      <c r="P9" s="255"/>
      <c r="Q9" s="255"/>
      <c r="R9" s="255"/>
      <c r="S9" s="255"/>
      <c r="T9" s="255"/>
      <c r="U9" s="96"/>
      <c r="V9" s="99"/>
      <c r="W9" s="117"/>
      <c r="X9" s="117" t="e">
        <f>(W9/N9/24)</f>
        <v>#DIV/0!</v>
      </c>
      <c r="Y9" s="99"/>
      <c r="Z9" s="99">
        <f>(N9*24*Y9*3.44)</f>
        <v>0</v>
      </c>
      <c r="AA9" s="174"/>
    </row>
    <row r="10" spans="1:27" s="109" customFormat="1" ht="15.75" customHeight="1">
      <c r="A10" s="148" t="s">
        <v>129</v>
      </c>
      <c r="B10" s="149"/>
      <c r="C10" s="149"/>
      <c r="D10" s="149"/>
      <c r="E10" s="254">
        <f>SUM(E7:E9)/B9</f>
        <v>0</v>
      </c>
      <c r="F10" s="254">
        <f>SUM(F7:F9)/B9</f>
        <v>0</v>
      </c>
      <c r="G10" s="254">
        <f>SUM(G7:G9)/B9</f>
        <v>0</v>
      </c>
      <c r="H10" s="141">
        <f>SUM(H7:H9)/B9</f>
        <v>13</v>
      </c>
      <c r="I10" s="150">
        <f>SUM(I7:I9)/B9</f>
        <v>0</v>
      </c>
      <c r="J10" s="149"/>
      <c r="K10" s="254">
        <f>SUM(K7:K9)/B9</f>
        <v>0</v>
      </c>
      <c r="L10" s="254">
        <f>SUM(L7:L9)/B9</f>
        <v>0</v>
      </c>
      <c r="M10" s="254">
        <f>SUM(M7:M9)</f>
        <v>0</v>
      </c>
      <c r="N10" s="254">
        <f>SUM(N7:N9)</f>
        <v>0</v>
      </c>
      <c r="O10" s="254">
        <f>O5-SUM(O7:O9)</f>
        <v>0</v>
      </c>
      <c r="P10" s="254">
        <f>P5-SUM(P7:P9)</f>
        <v>0.010138888888888893</v>
      </c>
      <c r="Q10" s="254">
        <f>Q5-SUM(Q7:Q9)</f>
        <v>0.035486111111111114</v>
      </c>
      <c r="R10" s="254">
        <f>R5-SUM(R7:R9)</f>
        <v>0.005069444444444446</v>
      </c>
      <c r="S10" s="254">
        <f>S5-SUM(S7:S9)</f>
        <v>0</v>
      </c>
      <c r="T10" s="254">
        <f>T5-SUM(T7:T9)</f>
        <v>0</v>
      </c>
      <c r="U10" s="254">
        <f>U5-SUM(U7:U9)</f>
        <v>0</v>
      </c>
      <c r="V10" s="150" t="e">
        <f>(M7*V7+M8*V8+M9*V9)/M10</f>
        <v>#DIV/0!</v>
      </c>
      <c r="W10" s="142">
        <f>SUM(W7:W9)</f>
        <v>0</v>
      </c>
      <c r="X10" s="142" t="e">
        <f>(W10/N10/24)</f>
        <v>#DIV/0!</v>
      </c>
      <c r="Y10" s="141" t="e">
        <f>(Y7*N7+Y8*N8+Y9*N9)/N10</f>
        <v>#DIV/0!</v>
      </c>
      <c r="Z10" s="141">
        <f>SUM(Z7:Z9)</f>
        <v>0</v>
      </c>
      <c r="AA10" s="151"/>
    </row>
    <row r="11" spans="1:27" s="109" customFormat="1" ht="15.75" customHeight="1" thickBot="1">
      <c r="A11" s="152" t="s">
        <v>9</v>
      </c>
      <c r="B11" s="112">
        <f>B9-B5</f>
        <v>0</v>
      </c>
      <c r="C11" s="108"/>
      <c r="D11" s="108"/>
      <c r="E11" s="125"/>
      <c r="F11" s="108"/>
      <c r="G11" s="226">
        <f>G5-G10</f>
        <v>0.3333333333333333</v>
      </c>
      <c r="H11" s="129">
        <f>H5-H10</f>
        <v>137</v>
      </c>
      <c r="I11" s="108"/>
      <c r="J11" s="108"/>
      <c r="K11" s="108"/>
      <c r="L11" s="108"/>
      <c r="M11" s="108"/>
      <c r="N11" s="108"/>
      <c r="O11" s="195" t="e">
        <f>SUM(O7:O9)/N10</f>
        <v>#DIV/0!</v>
      </c>
      <c r="P11" s="196" t="e">
        <f>SUM(P7:P9)/N10</f>
        <v>#DIV/0!</v>
      </c>
      <c r="Q11" s="196" t="e">
        <f>SUM(Q7:Q9)/N10</f>
        <v>#DIV/0!</v>
      </c>
      <c r="R11" s="196" t="e">
        <f>SUM(R7:R9)/N10</f>
        <v>#DIV/0!</v>
      </c>
      <c r="S11" s="196" t="e">
        <f>SUM(S7:S9)/N10</f>
        <v>#DIV/0!</v>
      </c>
      <c r="T11" s="196" t="e">
        <f>SUM(T7:T9)/N10</f>
        <v>#DIV/0!</v>
      </c>
      <c r="U11" s="196" t="e">
        <f>SUM(U7:U9)/N10</f>
        <v>#DIV/0!</v>
      </c>
      <c r="V11" s="108"/>
      <c r="W11" s="108"/>
      <c r="X11" s="108"/>
      <c r="Y11" s="108"/>
      <c r="Z11" s="108"/>
      <c r="AA11" s="153"/>
    </row>
    <row r="12" spans="5:27" s="109" customFormat="1" ht="15" customHeight="1" thickBot="1">
      <c r="E12" s="122"/>
      <c r="W12" s="114"/>
      <c r="X12" s="114"/>
      <c r="AA12" s="119"/>
    </row>
    <row r="13" spans="1:27" ht="15.75" customHeight="1" thickBot="1">
      <c r="A13" s="154" t="s">
        <v>44</v>
      </c>
      <c r="B13" s="155">
        <f>B2+1</f>
        <v>2</v>
      </c>
      <c r="C13" s="156" t="s">
        <v>104</v>
      </c>
      <c r="D13" s="157"/>
      <c r="E13" s="257">
        <f>E2+7</f>
        <v>38368</v>
      </c>
      <c r="F13" s="158"/>
      <c r="G13" s="158"/>
      <c r="H13" s="158"/>
      <c r="I13" s="158"/>
      <c r="J13" s="158"/>
      <c r="K13" s="144"/>
      <c r="L13" s="144"/>
      <c r="M13" s="159" t="s">
        <v>103</v>
      </c>
      <c r="N13" s="159"/>
      <c r="O13" s="159"/>
      <c r="P13" s="159"/>
      <c r="Q13" s="159"/>
      <c r="R13" s="159"/>
      <c r="S13" s="159"/>
      <c r="T13" s="159"/>
      <c r="U13" s="159"/>
      <c r="V13" s="158"/>
      <c r="W13" s="160"/>
      <c r="X13" s="160"/>
      <c r="Y13" s="158"/>
      <c r="Z13" s="158"/>
      <c r="AA13" s="161"/>
    </row>
    <row r="14" spans="1:27" ht="12.75">
      <c r="A14" s="230" t="s">
        <v>126</v>
      </c>
      <c r="B14" s="43"/>
      <c r="C14" s="33"/>
      <c r="D14" s="33"/>
      <c r="E14" s="162"/>
      <c r="F14" s="27"/>
      <c r="G14" s="27"/>
      <c r="H14" s="27"/>
      <c r="I14" s="209"/>
      <c r="J14" s="27"/>
      <c r="K14" s="27"/>
      <c r="L14" s="27"/>
      <c r="M14" s="27"/>
      <c r="N14" s="42"/>
      <c r="O14" s="43" t="s">
        <v>118</v>
      </c>
      <c r="P14" s="43"/>
      <c r="Q14" s="43"/>
      <c r="R14" s="43"/>
      <c r="S14" s="43"/>
      <c r="T14" s="43"/>
      <c r="U14" s="43"/>
      <c r="V14" s="27"/>
      <c r="W14" s="163"/>
      <c r="X14" s="163"/>
      <c r="Y14" s="27"/>
      <c r="Z14" s="27"/>
      <c r="AA14" s="164"/>
    </row>
    <row r="15" spans="1:27" s="127" customFormat="1" ht="16.5" thickBot="1">
      <c r="A15" s="165" t="s">
        <v>106</v>
      </c>
      <c r="B15" s="100" t="s">
        <v>107</v>
      </c>
      <c r="C15" s="100" t="s">
        <v>108</v>
      </c>
      <c r="D15" s="100" t="s">
        <v>109</v>
      </c>
      <c r="E15" s="126" t="s">
        <v>124</v>
      </c>
      <c r="F15" s="100" t="s">
        <v>125</v>
      </c>
      <c r="G15" s="100" t="s">
        <v>110</v>
      </c>
      <c r="H15" s="100" t="s">
        <v>111</v>
      </c>
      <c r="I15" s="100" t="s">
        <v>112</v>
      </c>
      <c r="J15" s="100" t="s">
        <v>113</v>
      </c>
      <c r="K15" s="100" t="s">
        <v>114</v>
      </c>
      <c r="L15" s="100" t="s">
        <v>115</v>
      </c>
      <c r="M15" s="100" t="s">
        <v>116</v>
      </c>
      <c r="N15" s="100" t="s">
        <v>117</v>
      </c>
      <c r="O15" s="100" t="s">
        <v>5</v>
      </c>
      <c r="P15" s="100" t="s">
        <v>1</v>
      </c>
      <c r="Q15" s="100" t="s">
        <v>2</v>
      </c>
      <c r="R15" s="100" t="s">
        <v>3</v>
      </c>
      <c r="S15" s="100" t="s">
        <v>7</v>
      </c>
      <c r="T15" s="100" t="s">
        <v>8</v>
      </c>
      <c r="U15" s="100" t="s">
        <v>40</v>
      </c>
      <c r="V15" s="100" t="s">
        <v>119</v>
      </c>
      <c r="W15" s="118" t="s">
        <v>120</v>
      </c>
      <c r="X15" s="118" t="s">
        <v>121</v>
      </c>
      <c r="Y15" s="100" t="s">
        <v>122</v>
      </c>
      <c r="Z15" s="100" t="s">
        <v>6</v>
      </c>
      <c r="AA15" s="153" t="s">
        <v>123</v>
      </c>
    </row>
    <row r="16" spans="1:27" s="81" customFormat="1" ht="13.5" customHeight="1">
      <c r="A16" s="166" t="s">
        <v>105</v>
      </c>
      <c r="B16" s="66">
        <v>4</v>
      </c>
      <c r="C16" s="104"/>
      <c r="D16" s="104"/>
      <c r="E16" s="124"/>
      <c r="F16" s="105"/>
      <c r="G16" s="227">
        <v>0.3333333333333333</v>
      </c>
      <c r="H16" s="66">
        <v>150</v>
      </c>
      <c r="I16" s="105"/>
      <c r="J16" s="105"/>
      <c r="K16" s="105"/>
      <c r="L16" s="105"/>
      <c r="M16" s="106"/>
      <c r="N16" s="227">
        <v>0.1840277777777778</v>
      </c>
      <c r="O16" s="227">
        <f aca="true" t="shared" si="1" ref="O16:U16">$N16*O17</f>
        <v>0</v>
      </c>
      <c r="P16" s="227">
        <f t="shared" si="1"/>
        <v>0.03680555555555557</v>
      </c>
      <c r="Q16" s="227">
        <f t="shared" si="1"/>
        <v>0.12881944444444446</v>
      </c>
      <c r="R16" s="227">
        <f t="shared" si="1"/>
        <v>0.01840277777777778</v>
      </c>
      <c r="S16" s="227">
        <f t="shared" si="1"/>
        <v>0</v>
      </c>
      <c r="T16" s="227">
        <f t="shared" si="1"/>
        <v>0</v>
      </c>
      <c r="U16" s="227">
        <f t="shared" si="1"/>
        <v>0</v>
      </c>
      <c r="V16" s="105"/>
      <c r="W16" s="115"/>
      <c r="X16" s="115"/>
      <c r="Y16" s="105"/>
      <c r="Z16" s="105"/>
      <c r="AA16" s="167"/>
    </row>
    <row r="17" spans="1:27" s="81" customFormat="1" ht="13.5" customHeight="1" thickBot="1">
      <c r="A17" s="168"/>
      <c r="B17" s="107"/>
      <c r="C17" s="107"/>
      <c r="D17" s="107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36">
        <v>0</v>
      </c>
      <c r="P17" s="136">
        <f>1-(SUM(Q17:U17)+O17)</f>
        <v>0.20000000000000007</v>
      </c>
      <c r="Q17" s="136">
        <v>0.7</v>
      </c>
      <c r="R17" s="136">
        <v>0.1</v>
      </c>
      <c r="S17" s="136">
        <v>0</v>
      </c>
      <c r="T17" s="136">
        <v>0</v>
      </c>
      <c r="U17" s="136">
        <v>0</v>
      </c>
      <c r="V17" s="108"/>
      <c r="W17" s="116"/>
      <c r="X17" s="116"/>
      <c r="Y17" s="108"/>
      <c r="Z17" s="108"/>
      <c r="AA17" s="169"/>
    </row>
    <row r="18" spans="1:27" s="113" customFormat="1" ht="15.75" customHeight="1">
      <c r="A18" s="170">
        <f>A9+1</f>
        <v>4</v>
      </c>
      <c r="B18" s="97">
        <v>1</v>
      </c>
      <c r="C18" s="98"/>
      <c r="D18" s="98"/>
      <c r="E18" s="255"/>
      <c r="F18" s="255"/>
      <c r="G18" s="255"/>
      <c r="H18" s="99"/>
      <c r="I18" s="96"/>
      <c r="J18" s="96"/>
      <c r="K18" s="255"/>
      <c r="L18" s="255">
        <f>K18+M18</f>
        <v>0</v>
      </c>
      <c r="M18" s="255"/>
      <c r="N18" s="255"/>
      <c r="O18" s="255"/>
      <c r="P18" s="255"/>
      <c r="Q18" s="255"/>
      <c r="R18" s="255"/>
      <c r="S18" s="255"/>
      <c r="T18" s="255"/>
      <c r="U18" s="96"/>
      <c r="V18" s="99"/>
      <c r="W18" s="117"/>
      <c r="X18" s="117" t="e">
        <f>(W18/N18/24)</f>
        <v>#DIV/0!</v>
      </c>
      <c r="Y18" s="99"/>
      <c r="Z18" s="99">
        <f>(N18*24*Y18*3.44)</f>
        <v>0</v>
      </c>
      <c r="AA18" s="174"/>
    </row>
    <row r="19" spans="1:27" s="113" customFormat="1" ht="15.75" customHeight="1">
      <c r="A19" s="170">
        <f>A18+1</f>
        <v>5</v>
      </c>
      <c r="B19" s="97">
        <v>2</v>
      </c>
      <c r="C19" s="98"/>
      <c r="D19" s="98"/>
      <c r="E19" s="255"/>
      <c r="F19" s="255"/>
      <c r="G19" s="255"/>
      <c r="H19" s="99"/>
      <c r="I19" s="96"/>
      <c r="J19" s="96"/>
      <c r="K19" s="255"/>
      <c r="L19" s="255">
        <f>K19+M19</f>
        <v>0</v>
      </c>
      <c r="M19" s="255"/>
      <c r="N19" s="255"/>
      <c r="O19" s="255"/>
      <c r="P19" s="255"/>
      <c r="Q19" s="255"/>
      <c r="R19" s="255"/>
      <c r="S19" s="255"/>
      <c r="T19" s="255"/>
      <c r="U19" s="96"/>
      <c r="V19" s="99"/>
      <c r="W19" s="117"/>
      <c r="X19" s="117" t="e">
        <f>(W19/N19/24)</f>
        <v>#DIV/0!</v>
      </c>
      <c r="Y19" s="99"/>
      <c r="Z19" s="99">
        <f>(N19*24*Y19*3.44)</f>
        <v>0</v>
      </c>
      <c r="AA19" s="174"/>
    </row>
    <row r="20" spans="1:27" s="113" customFormat="1" ht="15.75" customHeight="1">
      <c r="A20" s="170">
        <f>A19+1</f>
        <v>6</v>
      </c>
      <c r="B20" s="97">
        <v>3</v>
      </c>
      <c r="C20" s="98"/>
      <c r="D20" s="98"/>
      <c r="E20" s="255"/>
      <c r="F20" s="255"/>
      <c r="G20" s="255"/>
      <c r="H20" s="99"/>
      <c r="I20" s="96"/>
      <c r="J20" s="96"/>
      <c r="K20" s="255"/>
      <c r="L20" s="255">
        <f>K20+M20</f>
        <v>0</v>
      </c>
      <c r="M20" s="255"/>
      <c r="N20" s="255"/>
      <c r="O20" s="255"/>
      <c r="P20" s="255"/>
      <c r="Q20" s="255"/>
      <c r="R20" s="255"/>
      <c r="S20" s="255"/>
      <c r="T20" s="255"/>
      <c r="U20" s="96"/>
      <c r="V20" s="99"/>
      <c r="W20" s="117"/>
      <c r="X20" s="117" t="e">
        <f>(W20/N20/24)</f>
        <v>#DIV/0!</v>
      </c>
      <c r="Y20" s="99"/>
      <c r="Z20" s="99">
        <f>(N20*24*Y20*3.44)</f>
        <v>0</v>
      </c>
      <c r="AA20" s="174"/>
    </row>
    <row r="21" spans="1:27" s="113" customFormat="1" ht="15.75" customHeight="1" thickBot="1">
      <c r="A21" s="170">
        <f>A20+1</f>
        <v>7</v>
      </c>
      <c r="B21" s="97">
        <v>4</v>
      </c>
      <c r="C21" s="98"/>
      <c r="D21" s="98"/>
      <c r="E21" s="255"/>
      <c r="F21" s="255"/>
      <c r="G21" s="255"/>
      <c r="H21" s="99"/>
      <c r="I21" s="96"/>
      <c r="J21" s="96"/>
      <c r="K21" s="255"/>
      <c r="L21" s="255">
        <f>K21+M21</f>
        <v>0</v>
      </c>
      <c r="M21" s="255"/>
      <c r="N21" s="255"/>
      <c r="O21" s="255"/>
      <c r="P21" s="255"/>
      <c r="Q21" s="255"/>
      <c r="R21" s="255"/>
      <c r="S21" s="255"/>
      <c r="T21" s="255"/>
      <c r="U21" s="96"/>
      <c r="V21" s="99"/>
      <c r="W21" s="117"/>
      <c r="X21" s="117" t="e">
        <f>(W21/N21/24)</f>
        <v>#DIV/0!</v>
      </c>
      <c r="Y21" s="99"/>
      <c r="Z21" s="99">
        <f>(N21*24*Y21*3.44)</f>
        <v>0</v>
      </c>
      <c r="AA21" s="174"/>
    </row>
    <row r="22" spans="1:27" s="109" customFormat="1" ht="15.75" customHeight="1">
      <c r="A22" s="148" t="s">
        <v>129</v>
      </c>
      <c r="B22" s="149"/>
      <c r="C22" s="149"/>
      <c r="D22" s="149"/>
      <c r="E22" s="254">
        <f>SUM(E18:E21)/B21</f>
        <v>0</v>
      </c>
      <c r="F22" s="254">
        <f>SUM(F18:F21)/B21</f>
        <v>0</v>
      </c>
      <c r="G22" s="254">
        <f>SUM(G18:G21)/B21</f>
        <v>0</v>
      </c>
      <c r="H22" s="141">
        <f>SUM(H18:H21)/B21</f>
        <v>0</v>
      </c>
      <c r="I22" s="150">
        <f>SUM(I18:I21)/B21</f>
        <v>0</v>
      </c>
      <c r="J22" s="149"/>
      <c r="K22" s="254">
        <f>SUM(K18:K21)/B21</f>
        <v>0</v>
      </c>
      <c r="L22" s="254">
        <f>SUM(L18:L21)/B21</f>
        <v>0</v>
      </c>
      <c r="M22" s="254">
        <f>SUM(M18:M21)</f>
        <v>0</v>
      </c>
      <c r="N22" s="254">
        <f>SUM(N18:N21)</f>
        <v>0</v>
      </c>
      <c r="O22" s="254">
        <f>O16-SUM(O18:O21)</f>
        <v>0</v>
      </c>
      <c r="P22" s="254">
        <f>P16-SUM(P18:P21)</f>
        <v>0.03680555555555557</v>
      </c>
      <c r="Q22" s="254">
        <f>Q16-SUM(Q18:Q21)</f>
        <v>0.12881944444444446</v>
      </c>
      <c r="R22" s="254">
        <f>R16-SUM(R18:R21)</f>
        <v>0.01840277777777778</v>
      </c>
      <c r="S22" s="254">
        <f>S16-SUM(S18:S21)</f>
        <v>0</v>
      </c>
      <c r="T22" s="254">
        <f>T16-SUM(T18:T21)</f>
        <v>0</v>
      </c>
      <c r="U22" s="254">
        <f>U16-SUM(U18:U21)</f>
        <v>0</v>
      </c>
      <c r="V22" s="150" t="e">
        <f>(M18*V18+M19*V19+M20*V20+M21*V21)/M22</f>
        <v>#DIV/0!</v>
      </c>
      <c r="W22" s="142">
        <f>SUM(W18:W21)</f>
        <v>0</v>
      </c>
      <c r="X22" s="142" t="e">
        <f>(W22/N22/24)</f>
        <v>#DIV/0!</v>
      </c>
      <c r="Y22" s="141" t="e">
        <f>(Y18*N18+Y19*N19+Y20*N20+Y21*N21)/N22</f>
        <v>#DIV/0!</v>
      </c>
      <c r="Z22" s="141">
        <f>SUM(Z18:Z21)</f>
        <v>0</v>
      </c>
      <c r="AA22" s="151"/>
    </row>
    <row r="23" spans="1:27" s="109" customFormat="1" ht="15.75" customHeight="1" thickBot="1">
      <c r="A23" s="152" t="s">
        <v>9</v>
      </c>
      <c r="B23" s="112">
        <f>B21-B16</f>
        <v>0</v>
      </c>
      <c r="C23" s="108"/>
      <c r="D23" s="108"/>
      <c r="E23" s="125"/>
      <c r="F23" s="108"/>
      <c r="G23" s="226">
        <f>G16-G22</f>
        <v>0.3333333333333333</v>
      </c>
      <c r="H23" s="129">
        <f>H16-H22</f>
        <v>150</v>
      </c>
      <c r="I23" s="108"/>
      <c r="J23" s="108"/>
      <c r="K23" s="108"/>
      <c r="L23" s="108"/>
      <c r="M23" s="108"/>
      <c r="N23" s="108"/>
      <c r="O23" s="196" t="e">
        <f>SUM(O18:O21)/N22</f>
        <v>#DIV/0!</v>
      </c>
      <c r="P23" s="196" t="e">
        <f>SUM(P18:P21)/N22</f>
        <v>#DIV/0!</v>
      </c>
      <c r="Q23" s="196" t="e">
        <f>SUM(Q18:Q21)/N22</f>
        <v>#DIV/0!</v>
      </c>
      <c r="R23" s="196" t="e">
        <f>SUM(R18:R21)/N22</f>
        <v>#DIV/0!</v>
      </c>
      <c r="S23" s="196" t="e">
        <f>SUM(S18:S21)/N22</f>
        <v>#DIV/0!</v>
      </c>
      <c r="T23" s="196" t="e">
        <f>SUM(T18:T21)/N22</f>
        <v>#DIV/0!</v>
      </c>
      <c r="U23" s="196" t="e">
        <f>SUM(U18:U21)/N22</f>
        <v>#DIV/0!</v>
      </c>
      <c r="V23" s="108"/>
      <c r="W23" s="108"/>
      <c r="X23" s="108"/>
      <c r="Y23" s="108"/>
      <c r="Z23" s="108"/>
      <c r="AA23" s="153"/>
    </row>
    <row r="24" spans="5:27" s="109" customFormat="1" ht="15" customHeight="1" thickBot="1">
      <c r="E24" s="122"/>
      <c r="W24" s="114"/>
      <c r="X24" s="114"/>
      <c r="AA24" s="119"/>
    </row>
    <row r="25" spans="1:27" ht="15.75" customHeight="1" thickBot="1">
      <c r="A25" s="154" t="s">
        <v>44</v>
      </c>
      <c r="B25" s="155">
        <f>B13+1</f>
        <v>3</v>
      </c>
      <c r="C25" s="156" t="s">
        <v>104</v>
      </c>
      <c r="D25" s="157"/>
      <c r="E25" s="257">
        <f>E13+7</f>
        <v>38375</v>
      </c>
      <c r="F25" s="158"/>
      <c r="G25" s="158"/>
      <c r="H25" s="158"/>
      <c r="I25" s="158"/>
      <c r="J25" s="158"/>
      <c r="K25" s="144"/>
      <c r="L25" s="144"/>
      <c r="M25" s="159" t="s">
        <v>103</v>
      </c>
      <c r="N25" s="159"/>
      <c r="O25" s="159"/>
      <c r="P25" s="159"/>
      <c r="Q25" s="159"/>
      <c r="R25" s="159"/>
      <c r="S25" s="159"/>
      <c r="T25" s="159"/>
      <c r="U25" s="159"/>
      <c r="V25" s="158"/>
      <c r="W25" s="160"/>
      <c r="X25" s="160"/>
      <c r="Y25" s="158"/>
      <c r="Z25" s="158"/>
      <c r="AA25" s="161"/>
    </row>
    <row r="26" spans="1:27" ht="12.75">
      <c r="A26" s="230" t="s">
        <v>126</v>
      </c>
      <c r="B26" s="43"/>
      <c r="C26" s="33"/>
      <c r="D26" s="33"/>
      <c r="E26" s="162"/>
      <c r="F26" s="27"/>
      <c r="G26" s="27"/>
      <c r="H26" s="27"/>
      <c r="I26" s="209"/>
      <c r="J26" s="27"/>
      <c r="K26" s="27"/>
      <c r="L26" s="27"/>
      <c r="M26" s="27"/>
      <c r="N26" s="42"/>
      <c r="O26" s="43" t="s">
        <v>118</v>
      </c>
      <c r="P26" s="43"/>
      <c r="Q26" s="43"/>
      <c r="R26" s="43"/>
      <c r="S26" s="43"/>
      <c r="T26" s="43"/>
      <c r="U26" s="43"/>
      <c r="V26" s="27"/>
      <c r="W26" s="163"/>
      <c r="X26" s="163"/>
      <c r="Y26" s="27"/>
      <c r="Z26" s="27"/>
      <c r="AA26" s="164"/>
    </row>
    <row r="27" spans="1:27" s="127" customFormat="1" ht="16.5" thickBot="1">
      <c r="A27" s="165" t="s">
        <v>106</v>
      </c>
      <c r="B27" s="100" t="s">
        <v>107</v>
      </c>
      <c r="C27" s="100" t="s">
        <v>108</v>
      </c>
      <c r="D27" s="100" t="s">
        <v>109</v>
      </c>
      <c r="E27" s="126" t="s">
        <v>124</v>
      </c>
      <c r="F27" s="100" t="s">
        <v>125</v>
      </c>
      <c r="G27" s="100" t="s">
        <v>110</v>
      </c>
      <c r="H27" s="100" t="s">
        <v>111</v>
      </c>
      <c r="I27" s="100" t="s">
        <v>112</v>
      </c>
      <c r="J27" s="100" t="s">
        <v>113</v>
      </c>
      <c r="K27" s="100" t="s">
        <v>114</v>
      </c>
      <c r="L27" s="100" t="s">
        <v>115</v>
      </c>
      <c r="M27" s="100" t="s">
        <v>116</v>
      </c>
      <c r="N27" s="100" t="s">
        <v>117</v>
      </c>
      <c r="O27" s="100" t="s">
        <v>5</v>
      </c>
      <c r="P27" s="100" t="s">
        <v>1</v>
      </c>
      <c r="Q27" s="100" t="s">
        <v>2</v>
      </c>
      <c r="R27" s="100" t="s">
        <v>3</v>
      </c>
      <c r="S27" s="100" t="s">
        <v>7</v>
      </c>
      <c r="T27" s="100" t="s">
        <v>8</v>
      </c>
      <c r="U27" s="100" t="s">
        <v>40</v>
      </c>
      <c r="V27" s="100" t="s">
        <v>119</v>
      </c>
      <c r="W27" s="118" t="s">
        <v>120</v>
      </c>
      <c r="X27" s="118" t="s">
        <v>121</v>
      </c>
      <c r="Y27" s="100" t="s">
        <v>122</v>
      </c>
      <c r="Z27" s="100" t="s">
        <v>6</v>
      </c>
      <c r="AA27" s="153" t="s">
        <v>123</v>
      </c>
    </row>
    <row r="28" spans="1:27" s="81" customFormat="1" ht="12.75" customHeight="1">
      <c r="A28" s="166" t="s">
        <v>105</v>
      </c>
      <c r="B28" s="66">
        <v>5</v>
      </c>
      <c r="C28" s="104"/>
      <c r="D28" s="104"/>
      <c r="E28" s="124"/>
      <c r="F28" s="105"/>
      <c r="G28" s="227">
        <v>0.3333333333333333</v>
      </c>
      <c r="H28" s="66">
        <v>150</v>
      </c>
      <c r="I28" s="105"/>
      <c r="J28" s="105"/>
      <c r="K28" s="105"/>
      <c r="L28" s="105"/>
      <c r="M28" s="106"/>
      <c r="N28" s="227">
        <v>0.23721064814814816</v>
      </c>
      <c r="O28" s="227">
        <f aca="true" t="shared" si="2" ref="O28:U28">$N28*O29</f>
        <v>0</v>
      </c>
      <c r="P28" s="227">
        <f t="shared" si="2"/>
        <v>0.04744212962962965</v>
      </c>
      <c r="Q28" s="227">
        <f t="shared" si="2"/>
        <v>0.1660474537037037</v>
      </c>
      <c r="R28" s="227">
        <f t="shared" si="2"/>
        <v>0.023721064814814816</v>
      </c>
      <c r="S28" s="227">
        <f t="shared" si="2"/>
        <v>0</v>
      </c>
      <c r="T28" s="227">
        <f t="shared" si="2"/>
        <v>0</v>
      </c>
      <c r="U28" s="227">
        <f t="shared" si="2"/>
        <v>0</v>
      </c>
      <c r="V28" s="105"/>
      <c r="W28" s="115"/>
      <c r="X28" s="115"/>
      <c r="Y28" s="105"/>
      <c r="Z28" s="105"/>
      <c r="AA28" s="167"/>
    </row>
    <row r="29" spans="1:27" s="81" customFormat="1" ht="12.75" customHeight="1" thickBot="1">
      <c r="A29" s="168"/>
      <c r="B29" s="107"/>
      <c r="C29" s="107"/>
      <c r="D29" s="107"/>
      <c r="E29" s="125"/>
      <c r="F29" s="108"/>
      <c r="G29" s="108"/>
      <c r="H29" s="108"/>
      <c r="I29" s="108"/>
      <c r="J29" s="108"/>
      <c r="K29" s="108"/>
      <c r="L29" s="108"/>
      <c r="M29" s="108"/>
      <c r="N29" s="108"/>
      <c r="O29" s="136">
        <v>0</v>
      </c>
      <c r="P29" s="136">
        <f>1-(SUM(Q29:U29)+O29)</f>
        <v>0.20000000000000007</v>
      </c>
      <c r="Q29" s="136">
        <v>0.7</v>
      </c>
      <c r="R29" s="136">
        <v>0.1</v>
      </c>
      <c r="S29" s="136">
        <v>0</v>
      </c>
      <c r="T29" s="136">
        <v>0</v>
      </c>
      <c r="U29" s="136">
        <v>0</v>
      </c>
      <c r="V29" s="108"/>
      <c r="W29" s="116"/>
      <c r="X29" s="116"/>
      <c r="Y29" s="108"/>
      <c r="Z29" s="108"/>
      <c r="AA29" s="169"/>
    </row>
    <row r="30" spans="1:27" s="113" customFormat="1" ht="15.75" customHeight="1">
      <c r="A30" s="170">
        <f>A21+1</f>
        <v>8</v>
      </c>
      <c r="B30" s="97">
        <v>1</v>
      </c>
      <c r="C30" s="98"/>
      <c r="D30" s="98"/>
      <c r="E30" s="255"/>
      <c r="F30" s="255"/>
      <c r="G30" s="255"/>
      <c r="H30" s="99"/>
      <c r="I30" s="96"/>
      <c r="J30" s="96"/>
      <c r="K30" s="255"/>
      <c r="L30" s="255">
        <f>K30+M30</f>
        <v>0</v>
      </c>
      <c r="M30" s="255"/>
      <c r="N30" s="255"/>
      <c r="O30" s="255"/>
      <c r="P30" s="255"/>
      <c r="Q30" s="255"/>
      <c r="R30" s="255"/>
      <c r="S30" s="255"/>
      <c r="T30" s="255"/>
      <c r="U30" s="96"/>
      <c r="V30" s="99"/>
      <c r="W30" s="117"/>
      <c r="X30" s="117" t="e">
        <f aca="true" t="shared" si="3" ref="X30:X35">(W30/N30/24)</f>
        <v>#DIV/0!</v>
      </c>
      <c r="Y30" s="99"/>
      <c r="Z30" s="99">
        <f>(N30*24*Y30*3.44)</f>
        <v>0</v>
      </c>
      <c r="AA30" s="174"/>
    </row>
    <row r="31" spans="1:27" s="113" customFormat="1" ht="15.75" customHeight="1">
      <c r="A31" s="170">
        <f>A30+1</f>
        <v>9</v>
      </c>
      <c r="B31" s="97">
        <v>2</v>
      </c>
      <c r="C31" s="98"/>
      <c r="D31" s="98"/>
      <c r="E31" s="255"/>
      <c r="F31" s="255"/>
      <c r="G31" s="255"/>
      <c r="H31" s="99"/>
      <c r="I31" s="96"/>
      <c r="J31" s="96"/>
      <c r="K31" s="255"/>
      <c r="L31" s="255">
        <f>K31+M31</f>
        <v>0</v>
      </c>
      <c r="M31" s="255"/>
      <c r="N31" s="255"/>
      <c r="O31" s="255"/>
      <c r="P31" s="255"/>
      <c r="Q31" s="255"/>
      <c r="R31" s="255"/>
      <c r="S31" s="255"/>
      <c r="T31" s="255"/>
      <c r="U31" s="96"/>
      <c r="V31" s="99"/>
      <c r="W31" s="117"/>
      <c r="X31" s="117" t="e">
        <f t="shared" si="3"/>
        <v>#DIV/0!</v>
      </c>
      <c r="Y31" s="99"/>
      <c r="Z31" s="99">
        <f>(N31*24*Y31*3.44)</f>
        <v>0</v>
      </c>
      <c r="AA31" s="174"/>
    </row>
    <row r="32" spans="1:27" s="113" customFormat="1" ht="15.75" customHeight="1">
      <c r="A32" s="170">
        <f>A31+1</f>
        <v>10</v>
      </c>
      <c r="B32" s="97">
        <v>3</v>
      </c>
      <c r="C32" s="98"/>
      <c r="D32" s="98"/>
      <c r="E32" s="255"/>
      <c r="F32" s="255"/>
      <c r="G32" s="255"/>
      <c r="H32" s="99"/>
      <c r="I32" s="96"/>
      <c r="J32" s="96"/>
      <c r="K32" s="255"/>
      <c r="L32" s="255">
        <f>K32+M32</f>
        <v>0</v>
      </c>
      <c r="M32" s="255"/>
      <c r="N32" s="255"/>
      <c r="O32" s="255"/>
      <c r="P32" s="255"/>
      <c r="Q32" s="255"/>
      <c r="R32" s="255"/>
      <c r="S32" s="255"/>
      <c r="T32" s="255"/>
      <c r="U32" s="96"/>
      <c r="V32" s="99"/>
      <c r="W32" s="117"/>
      <c r="X32" s="117" t="e">
        <f t="shared" si="3"/>
        <v>#DIV/0!</v>
      </c>
      <c r="Y32" s="99"/>
      <c r="Z32" s="99">
        <f>(N32*24*Y32*3.44)</f>
        <v>0</v>
      </c>
      <c r="AA32" s="174"/>
    </row>
    <row r="33" spans="1:27" s="113" customFormat="1" ht="15.75" customHeight="1">
      <c r="A33" s="170">
        <f>A32+1</f>
        <v>11</v>
      </c>
      <c r="B33" s="97">
        <v>4</v>
      </c>
      <c r="C33" s="98"/>
      <c r="D33" s="98"/>
      <c r="E33" s="255"/>
      <c r="F33" s="255"/>
      <c r="G33" s="255"/>
      <c r="H33" s="99"/>
      <c r="I33" s="96"/>
      <c r="J33" s="96"/>
      <c r="K33" s="255"/>
      <c r="L33" s="255">
        <f>K33+M33</f>
        <v>0</v>
      </c>
      <c r="M33" s="255"/>
      <c r="N33" s="255"/>
      <c r="O33" s="255"/>
      <c r="P33" s="255"/>
      <c r="Q33" s="255"/>
      <c r="R33" s="255"/>
      <c r="S33" s="255"/>
      <c r="T33" s="255"/>
      <c r="U33" s="96"/>
      <c r="V33" s="99"/>
      <c r="W33" s="117"/>
      <c r="X33" s="117" t="e">
        <f t="shared" si="3"/>
        <v>#DIV/0!</v>
      </c>
      <c r="Y33" s="99"/>
      <c r="Z33" s="99">
        <f>(N33*24*Y33*3.44)</f>
        <v>0</v>
      </c>
      <c r="AA33" s="174"/>
    </row>
    <row r="34" spans="1:27" s="113" customFormat="1" ht="15.75" customHeight="1" thickBot="1">
      <c r="A34" s="170">
        <f>A33+1</f>
        <v>12</v>
      </c>
      <c r="B34" s="97">
        <v>5</v>
      </c>
      <c r="C34" s="98"/>
      <c r="D34" s="98"/>
      <c r="E34" s="255"/>
      <c r="F34" s="255"/>
      <c r="G34" s="255"/>
      <c r="H34" s="99"/>
      <c r="I34" s="96"/>
      <c r="J34" s="96"/>
      <c r="K34" s="255"/>
      <c r="L34" s="255">
        <f>K34+M34</f>
        <v>0</v>
      </c>
      <c r="M34" s="255"/>
      <c r="N34" s="255"/>
      <c r="O34" s="255"/>
      <c r="P34" s="255"/>
      <c r="Q34" s="255"/>
      <c r="R34" s="255"/>
      <c r="S34" s="255"/>
      <c r="T34" s="255"/>
      <c r="U34" s="96"/>
      <c r="V34" s="99"/>
      <c r="W34" s="117"/>
      <c r="X34" s="117" t="e">
        <f t="shared" si="3"/>
        <v>#DIV/0!</v>
      </c>
      <c r="Y34" s="99"/>
      <c r="Z34" s="99">
        <f>(N34*24*Y34*3.44)</f>
        <v>0</v>
      </c>
      <c r="AA34" s="174"/>
    </row>
    <row r="35" spans="1:27" s="109" customFormat="1" ht="15.75" customHeight="1">
      <c r="A35" s="148" t="s">
        <v>129</v>
      </c>
      <c r="B35" s="149"/>
      <c r="C35" s="149"/>
      <c r="D35" s="149"/>
      <c r="E35" s="254">
        <f>SUM(E30:E34)/B34</f>
        <v>0</v>
      </c>
      <c r="F35" s="254">
        <f>SUM(F30:F34)/B34</f>
        <v>0</v>
      </c>
      <c r="G35" s="254">
        <f>SUM(G30:G34)/B34</f>
        <v>0</v>
      </c>
      <c r="H35" s="141">
        <f>SUM(H30:H34)/B34</f>
        <v>0</v>
      </c>
      <c r="I35" s="150">
        <f>SUM(I30:I34)/B34</f>
        <v>0</v>
      </c>
      <c r="J35" s="149"/>
      <c r="K35" s="254">
        <f>SUM(K30:K34)/B34</f>
        <v>0</v>
      </c>
      <c r="L35" s="254">
        <f>SUM(L30:L34)/B34</f>
        <v>0</v>
      </c>
      <c r="M35" s="254">
        <f>SUM(M30:M34)</f>
        <v>0</v>
      </c>
      <c r="N35" s="254">
        <f>SUM(N30:N34)</f>
        <v>0</v>
      </c>
      <c r="O35" s="254">
        <f>O28-SUM(O30:O34)</f>
        <v>0</v>
      </c>
      <c r="P35" s="254">
        <f>P28-SUM(P30:P34)</f>
        <v>0.04744212962962965</v>
      </c>
      <c r="Q35" s="254">
        <f>Q28-SUM(Q30:Q34)</f>
        <v>0.1660474537037037</v>
      </c>
      <c r="R35" s="254">
        <f>R28-SUM(R30:R34)</f>
        <v>0.023721064814814816</v>
      </c>
      <c r="S35" s="254">
        <f>S28-SUM(S30:S34)</f>
        <v>0</v>
      </c>
      <c r="T35" s="254">
        <f>T28-SUM(T30:T34)</f>
        <v>0</v>
      </c>
      <c r="U35" s="254">
        <f>U28-SUM(U30:U34)</f>
        <v>0</v>
      </c>
      <c r="V35" s="150" t="e">
        <f>(M30*V30+M31*V31+M32*V32+M33*V33+M34*V34)/M35</f>
        <v>#DIV/0!</v>
      </c>
      <c r="W35" s="142">
        <f>SUM(W30:W34)</f>
        <v>0</v>
      </c>
      <c r="X35" s="142" t="e">
        <f t="shared" si="3"/>
        <v>#DIV/0!</v>
      </c>
      <c r="Y35" s="141" t="e">
        <f>(Y30*N30+Y31*N31+Y32*N32+Y33*N33+Y34*N34)/N35</f>
        <v>#DIV/0!</v>
      </c>
      <c r="Z35" s="141">
        <f>SUM(Z30:Z34)</f>
        <v>0</v>
      </c>
      <c r="AA35" s="151"/>
    </row>
    <row r="36" spans="1:27" s="109" customFormat="1" ht="15.75" customHeight="1" thickBot="1">
      <c r="A36" s="152" t="s">
        <v>9</v>
      </c>
      <c r="B36" s="112">
        <f>B34-B28</f>
        <v>0</v>
      </c>
      <c r="C36" s="108"/>
      <c r="D36" s="108"/>
      <c r="E36" s="125"/>
      <c r="F36" s="108"/>
      <c r="G36" s="226">
        <f>G28-G35</f>
        <v>0.3333333333333333</v>
      </c>
      <c r="H36" s="129">
        <f>H28-H35</f>
        <v>150</v>
      </c>
      <c r="I36" s="108"/>
      <c r="J36" s="108"/>
      <c r="K36" s="108"/>
      <c r="L36" s="108"/>
      <c r="M36" s="108"/>
      <c r="N36" s="108"/>
      <c r="O36" s="196" t="e">
        <f>SUM(O30:O34)/N35</f>
        <v>#DIV/0!</v>
      </c>
      <c r="P36" s="196" t="e">
        <f>SUM(P30:P34)/N35</f>
        <v>#DIV/0!</v>
      </c>
      <c r="Q36" s="196" t="e">
        <f>SUM(Q30:Q34)/N35</f>
        <v>#DIV/0!</v>
      </c>
      <c r="R36" s="196" t="e">
        <f>SUM(R30:R34)/N35</f>
        <v>#DIV/0!</v>
      </c>
      <c r="S36" s="196" t="e">
        <f>SUM(S30:S34)/N35</f>
        <v>#DIV/0!</v>
      </c>
      <c r="T36" s="196" t="e">
        <f>SUM(T30:T34)/N35</f>
        <v>#DIV/0!</v>
      </c>
      <c r="U36" s="196" t="e">
        <f>SUM(U30:U34)/N35</f>
        <v>#DIV/0!</v>
      </c>
      <c r="V36" s="108"/>
      <c r="W36" s="108"/>
      <c r="X36" s="108"/>
      <c r="Y36" s="108"/>
      <c r="Z36" s="108"/>
      <c r="AA36" s="153"/>
    </row>
    <row r="37" spans="5:27" s="109" customFormat="1" ht="15" customHeight="1" thickBot="1">
      <c r="E37" s="122"/>
      <c r="W37" s="114"/>
      <c r="X37" s="114"/>
      <c r="AA37" s="119"/>
    </row>
    <row r="38" spans="1:27" ht="15.75" customHeight="1" thickBot="1">
      <c r="A38" s="154" t="s">
        <v>44</v>
      </c>
      <c r="B38" s="155">
        <f>B25+1</f>
        <v>4</v>
      </c>
      <c r="C38" s="156" t="s">
        <v>104</v>
      </c>
      <c r="D38" s="157"/>
      <c r="E38" s="257">
        <f>E25+7</f>
        <v>38382</v>
      </c>
      <c r="F38" s="158"/>
      <c r="G38" s="158"/>
      <c r="H38" s="158"/>
      <c r="I38" s="158"/>
      <c r="J38" s="158"/>
      <c r="K38" s="144"/>
      <c r="L38" s="144"/>
      <c r="M38" s="159" t="s">
        <v>103</v>
      </c>
      <c r="N38" s="159"/>
      <c r="O38" s="159"/>
      <c r="P38" s="159"/>
      <c r="Q38" s="159"/>
      <c r="R38" s="159"/>
      <c r="S38" s="159"/>
      <c r="T38" s="159"/>
      <c r="U38" s="159"/>
      <c r="V38" s="158"/>
      <c r="W38" s="160"/>
      <c r="X38" s="160"/>
      <c r="Y38" s="158"/>
      <c r="Z38" s="158"/>
      <c r="AA38" s="161"/>
    </row>
    <row r="39" spans="1:27" ht="12.75">
      <c r="A39" s="230" t="s">
        <v>126</v>
      </c>
      <c r="B39" s="43"/>
      <c r="C39" s="33"/>
      <c r="D39" s="33"/>
      <c r="E39" s="162"/>
      <c r="F39" s="27"/>
      <c r="G39" s="27"/>
      <c r="H39" s="27"/>
      <c r="I39" s="209"/>
      <c r="J39" s="27"/>
      <c r="K39" s="27"/>
      <c r="L39" s="27"/>
      <c r="M39" s="27"/>
      <c r="N39" s="42"/>
      <c r="O39" s="43" t="s">
        <v>118</v>
      </c>
      <c r="P39" s="43"/>
      <c r="Q39" s="43"/>
      <c r="R39" s="43"/>
      <c r="S39" s="43"/>
      <c r="T39" s="43"/>
      <c r="U39" s="43"/>
      <c r="V39" s="27"/>
      <c r="W39" s="163"/>
      <c r="X39" s="163"/>
      <c r="Y39" s="27"/>
      <c r="Z39" s="27"/>
      <c r="AA39" s="164"/>
    </row>
    <row r="40" spans="1:27" s="127" customFormat="1" ht="16.5" thickBot="1">
      <c r="A40" s="165" t="s">
        <v>106</v>
      </c>
      <c r="B40" s="100" t="s">
        <v>107</v>
      </c>
      <c r="C40" s="100" t="s">
        <v>108</v>
      </c>
      <c r="D40" s="100" t="s">
        <v>109</v>
      </c>
      <c r="E40" s="126" t="s">
        <v>124</v>
      </c>
      <c r="F40" s="100" t="s">
        <v>125</v>
      </c>
      <c r="G40" s="100" t="s">
        <v>110</v>
      </c>
      <c r="H40" s="100" t="s">
        <v>111</v>
      </c>
      <c r="I40" s="100" t="s">
        <v>112</v>
      </c>
      <c r="J40" s="100" t="s">
        <v>113</v>
      </c>
      <c r="K40" s="100" t="s">
        <v>114</v>
      </c>
      <c r="L40" s="100" t="s">
        <v>115</v>
      </c>
      <c r="M40" s="100" t="s">
        <v>116</v>
      </c>
      <c r="N40" s="100" t="s">
        <v>117</v>
      </c>
      <c r="O40" s="100" t="s">
        <v>5</v>
      </c>
      <c r="P40" s="100" t="s">
        <v>1</v>
      </c>
      <c r="Q40" s="100" t="s">
        <v>2</v>
      </c>
      <c r="R40" s="100" t="s">
        <v>3</v>
      </c>
      <c r="S40" s="100" t="s">
        <v>7</v>
      </c>
      <c r="T40" s="100" t="s">
        <v>8</v>
      </c>
      <c r="U40" s="100" t="s">
        <v>40</v>
      </c>
      <c r="V40" s="100" t="s">
        <v>119</v>
      </c>
      <c r="W40" s="118" t="s">
        <v>120</v>
      </c>
      <c r="X40" s="118" t="s">
        <v>121</v>
      </c>
      <c r="Y40" s="100" t="s">
        <v>122</v>
      </c>
      <c r="Z40" s="100" t="s">
        <v>6</v>
      </c>
      <c r="AA40" s="153" t="s">
        <v>123</v>
      </c>
    </row>
    <row r="41" spans="1:27" s="81" customFormat="1" ht="12.75" customHeight="1">
      <c r="A41" s="166" t="s">
        <v>105</v>
      </c>
      <c r="B41" s="66">
        <v>6</v>
      </c>
      <c r="C41" s="104"/>
      <c r="D41" s="104"/>
      <c r="E41" s="124"/>
      <c r="F41" s="105"/>
      <c r="G41" s="227">
        <v>0.3333333333333333</v>
      </c>
      <c r="H41" s="66">
        <v>150</v>
      </c>
      <c r="I41" s="105"/>
      <c r="J41" s="105"/>
      <c r="K41" s="105"/>
      <c r="L41" s="105"/>
      <c r="M41" s="106"/>
      <c r="N41" s="227">
        <v>0.34027777777777773</v>
      </c>
      <c r="O41" s="227">
        <f aca="true" t="shared" si="4" ref="O41:U41">$N41*O42</f>
        <v>0</v>
      </c>
      <c r="P41" s="227">
        <f t="shared" si="4"/>
        <v>0.06805555555555556</v>
      </c>
      <c r="Q41" s="227">
        <f t="shared" si="4"/>
        <v>0.2381944444444444</v>
      </c>
      <c r="R41" s="227">
        <f t="shared" si="4"/>
        <v>0.034027777777777775</v>
      </c>
      <c r="S41" s="227">
        <f t="shared" si="4"/>
        <v>0</v>
      </c>
      <c r="T41" s="227">
        <f t="shared" si="4"/>
        <v>0</v>
      </c>
      <c r="U41" s="227">
        <f t="shared" si="4"/>
        <v>0</v>
      </c>
      <c r="V41" s="105"/>
      <c r="W41" s="115"/>
      <c r="X41" s="115"/>
      <c r="Y41" s="105"/>
      <c r="Z41" s="105"/>
      <c r="AA41" s="167"/>
    </row>
    <row r="42" spans="1:27" s="81" customFormat="1" ht="12.75" customHeight="1" thickBot="1">
      <c r="A42" s="168"/>
      <c r="B42" s="107"/>
      <c r="C42" s="107"/>
      <c r="D42" s="107"/>
      <c r="E42" s="125"/>
      <c r="F42" s="108"/>
      <c r="G42" s="108"/>
      <c r="H42" s="108"/>
      <c r="I42" s="108"/>
      <c r="J42" s="108"/>
      <c r="K42" s="108"/>
      <c r="L42" s="108"/>
      <c r="M42" s="108"/>
      <c r="N42" s="108"/>
      <c r="O42" s="136">
        <v>0</v>
      </c>
      <c r="P42" s="136">
        <f>1-(SUM(Q42:U42)+O42)</f>
        <v>0.20000000000000007</v>
      </c>
      <c r="Q42" s="136">
        <v>0.7</v>
      </c>
      <c r="R42" s="136">
        <v>0.1</v>
      </c>
      <c r="S42" s="136">
        <v>0</v>
      </c>
      <c r="T42" s="136">
        <v>0</v>
      </c>
      <c r="U42" s="136">
        <v>0</v>
      </c>
      <c r="V42" s="108"/>
      <c r="W42" s="116"/>
      <c r="X42" s="116"/>
      <c r="Y42" s="108"/>
      <c r="Z42" s="108"/>
      <c r="AA42" s="169"/>
    </row>
    <row r="43" spans="1:27" s="113" customFormat="1" ht="15.75" customHeight="1">
      <c r="A43" s="170">
        <f>A34+1</f>
        <v>13</v>
      </c>
      <c r="B43" s="97">
        <v>1</v>
      </c>
      <c r="C43" s="98"/>
      <c r="D43" s="98"/>
      <c r="E43" s="255"/>
      <c r="F43" s="255"/>
      <c r="G43" s="255"/>
      <c r="H43" s="99"/>
      <c r="I43" s="96"/>
      <c r="J43" s="96"/>
      <c r="K43" s="255"/>
      <c r="L43" s="255">
        <f aca="true" t="shared" si="5" ref="L43:L48">K43+M43</f>
        <v>0</v>
      </c>
      <c r="M43" s="255"/>
      <c r="N43" s="255"/>
      <c r="O43" s="255"/>
      <c r="P43" s="255"/>
      <c r="Q43" s="255"/>
      <c r="R43" s="255"/>
      <c r="S43" s="255"/>
      <c r="T43" s="255"/>
      <c r="U43" s="96"/>
      <c r="V43" s="99"/>
      <c r="W43" s="117"/>
      <c r="X43" s="117" t="e">
        <f aca="true" t="shared" si="6" ref="X43:X49">(W43/N43/24)</f>
        <v>#DIV/0!</v>
      </c>
      <c r="Y43" s="99"/>
      <c r="Z43" s="99">
        <f aca="true" t="shared" si="7" ref="Z43:Z48">(N43*24*Y43*3.44)</f>
        <v>0</v>
      </c>
      <c r="AA43" s="174"/>
    </row>
    <row r="44" spans="1:27" s="113" customFormat="1" ht="15.75" customHeight="1">
      <c r="A44" s="170">
        <f>A43+1</f>
        <v>14</v>
      </c>
      <c r="B44" s="97">
        <v>2</v>
      </c>
      <c r="C44" s="98"/>
      <c r="D44" s="98"/>
      <c r="E44" s="255"/>
      <c r="F44" s="255"/>
      <c r="G44" s="255"/>
      <c r="H44" s="99"/>
      <c r="I44" s="96"/>
      <c r="J44" s="96"/>
      <c r="K44" s="255"/>
      <c r="L44" s="255">
        <f t="shared" si="5"/>
        <v>0</v>
      </c>
      <c r="M44" s="255"/>
      <c r="N44" s="255"/>
      <c r="O44" s="255"/>
      <c r="P44" s="255"/>
      <c r="Q44" s="255"/>
      <c r="R44" s="255"/>
      <c r="S44" s="255"/>
      <c r="T44" s="255"/>
      <c r="U44" s="96"/>
      <c r="V44" s="99"/>
      <c r="W44" s="117"/>
      <c r="X44" s="117" t="e">
        <f t="shared" si="6"/>
        <v>#DIV/0!</v>
      </c>
      <c r="Y44" s="99"/>
      <c r="Z44" s="99">
        <f t="shared" si="7"/>
        <v>0</v>
      </c>
      <c r="AA44" s="174"/>
    </row>
    <row r="45" spans="1:27" s="113" customFormat="1" ht="15.75" customHeight="1">
      <c r="A45" s="170">
        <f>A44+1</f>
        <v>15</v>
      </c>
      <c r="B45" s="97">
        <v>3</v>
      </c>
      <c r="C45" s="98"/>
      <c r="D45" s="98"/>
      <c r="E45" s="255"/>
      <c r="F45" s="255"/>
      <c r="G45" s="255"/>
      <c r="H45" s="99"/>
      <c r="I45" s="96"/>
      <c r="J45" s="96"/>
      <c r="K45" s="255"/>
      <c r="L45" s="255">
        <f t="shared" si="5"/>
        <v>0</v>
      </c>
      <c r="M45" s="255"/>
      <c r="N45" s="255"/>
      <c r="O45" s="255"/>
      <c r="P45" s="255"/>
      <c r="Q45" s="255"/>
      <c r="R45" s="255"/>
      <c r="S45" s="255"/>
      <c r="T45" s="255"/>
      <c r="U45" s="96"/>
      <c r="V45" s="99"/>
      <c r="W45" s="117"/>
      <c r="X45" s="117" t="e">
        <f t="shared" si="6"/>
        <v>#DIV/0!</v>
      </c>
      <c r="Y45" s="99"/>
      <c r="Z45" s="99">
        <f t="shared" si="7"/>
        <v>0</v>
      </c>
      <c r="AA45" s="174"/>
    </row>
    <row r="46" spans="1:27" s="113" customFormat="1" ht="15.75" customHeight="1">
      <c r="A46" s="170">
        <f>A45+1</f>
        <v>16</v>
      </c>
      <c r="B46" s="97">
        <v>4</v>
      </c>
      <c r="C46" s="98"/>
      <c r="D46" s="98"/>
      <c r="E46" s="255"/>
      <c r="F46" s="255"/>
      <c r="G46" s="255"/>
      <c r="H46" s="99"/>
      <c r="I46" s="96"/>
      <c r="J46" s="96"/>
      <c r="K46" s="255"/>
      <c r="L46" s="255">
        <f t="shared" si="5"/>
        <v>0</v>
      </c>
      <c r="M46" s="255"/>
      <c r="N46" s="255"/>
      <c r="O46" s="255"/>
      <c r="P46" s="255"/>
      <c r="Q46" s="255"/>
      <c r="R46" s="255"/>
      <c r="S46" s="255"/>
      <c r="T46" s="255"/>
      <c r="U46" s="96"/>
      <c r="V46" s="99"/>
      <c r="W46" s="117"/>
      <c r="X46" s="117" t="e">
        <f t="shared" si="6"/>
        <v>#DIV/0!</v>
      </c>
      <c r="Y46" s="99"/>
      <c r="Z46" s="99">
        <f t="shared" si="7"/>
        <v>0</v>
      </c>
      <c r="AA46" s="174"/>
    </row>
    <row r="47" spans="1:27" s="113" customFormat="1" ht="15.75" customHeight="1">
      <c r="A47" s="170">
        <f>A46+1</f>
        <v>17</v>
      </c>
      <c r="B47" s="97">
        <v>5</v>
      </c>
      <c r="C47" s="98"/>
      <c r="D47" s="98"/>
      <c r="E47" s="255"/>
      <c r="F47" s="255"/>
      <c r="G47" s="255"/>
      <c r="H47" s="99"/>
      <c r="I47" s="96"/>
      <c r="J47" s="96"/>
      <c r="K47" s="255"/>
      <c r="L47" s="255">
        <f t="shared" si="5"/>
        <v>0</v>
      </c>
      <c r="M47" s="255"/>
      <c r="N47" s="255"/>
      <c r="O47" s="255"/>
      <c r="P47" s="255"/>
      <c r="Q47" s="255"/>
      <c r="R47" s="255"/>
      <c r="S47" s="255"/>
      <c r="T47" s="255"/>
      <c r="U47" s="96"/>
      <c r="V47" s="99"/>
      <c r="W47" s="117"/>
      <c r="X47" s="117" t="e">
        <f t="shared" si="6"/>
        <v>#DIV/0!</v>
      </c>
      <c r="Y47" s="99"/>
      <c r="Z47" s="99">
        <f t="shared" si="7"/>
        <v>0</v>
      </c>
      <c r="AA47" s="174"/>
    </row>
    <row r="48" spans="1:27" s="113" customFormat="1" ht="15.75" customHeight="1" thickBot="1">
      <c r="A48" s="170">
        <f>A47+1</f>
        <v>18</v>
      </c>
      <c r="B48" s="97">
        <v>6</v>
      </c>
      <c r="C48" s="98"/>
      <c r="D48" s="98"/>
      <c r="E48" s="255"/>
      <c r="F48" s="255"/>
      <c r="G48" s="255"/>
      <c r="H48" s="99"/>
      <c r="I48" s="96"/>
      <c r="J48" s="96"/>
      <c r="K48" s="255"/>
      <c r="L48" s="255">
        <f t="shared" si="5"/>
        <v>0</v>
      </c>
      <c r="M48" s="255"/>
      <c r="N48" s="255"/>
      <c r="O48" s="255"/>
      <c r="P48" s="255"/>
      <c r="Q48" s="255"/>
      <c r="R48" s="255"/>
      <c r="S48" s="255"/>
      <c r="T48" s="255"/>
      <c r="U48" s="96"/>
      <c r="V48" s="99"/>
      <c r="W48" s="117"/>
      <c r="X48" s="117" t="e">
        <f t="shared" si="6"/>
        <v>#DIV/0!</v>
      </c>
      <c r="Y48" s="99"/>
      <c r="Z48" s="99">
        <f t="shared" si="7"/>
        <v>0</v>
      </c>
      <c r="AA48" s="174"/>
    </row>
    <row r="49" spans="1:27" s="109" customFormat="1" ht="15.75" customHeight="1">
      <c r="A49" s="148" t="s">
        <v>129</v>
      </c>
      <c r="B49" s="149"/>
      <c r="C49" s="149"/>
      <c r="D49" s="149"/>
      <c r="E49" s="254">
        <f>SUM(E43:E48)/B48</f>
        <v>0</v>
      </c>
      <c r="F49" s="254">
        <f>SUM(F43:F48)/B48</f>
        <v>0</v>
      </c>
      <c r="G49" s="254">
        <f>SUM(G43:G48)/B48</f>
        <v>0</v>
      </c>
      <c r="H49" s="141">
        <f>SUM(H43:H48)/B48</f>
        <v>0</v>
      </c>
      <c r="I49" s="150">
        <f>SUM(I43:I48)/B48</f>
        <v>0</v>
      </c>
      <c r="J49" s="149"/>
      <c r="K49" s="254">
        <f>SUM(K43:K48)/B48</f>
        <v>0</v>
      </c>
      <c r="L49" s="254">
        <f>SUM(L43:L48)/B48</f>
        <v>0</v>
      </c>
      <c r="M49" s="254">
        <f>SUM(M43:M48)</f>
        <v>0</v>
      </c>
      <c r="N49" s="254">
        <f>SUM(N43:N48)</f>
        <v>0</v>
      </c>
      <c r="O49" s="254">
        <f>O41-SUM(O43:O48)</f>
        <v>0</v>
      </c>
      <c r="P49" s="254">
        <f>P41-SUM(P43:P48)</f>
        <v>0.06805555555555556</v>
      </c>
      <c r="Q49" s="254">
        <f>Q41-SUM(Q43:Q48)</f>
        <v>0.2381944444444444</v>
      </c>
      <c r="R49" s="254">
        <f>R41-SUM(R43:R48)</f>
        <v>0.034027777777777775</v>
      </c>
      <c r="S49" s="254">
        <f>S41-SUM(S43:S48)</f>
        <v>0</v>
      </c>
      <c r="T49" s="254">
        <f>T41-SUM(T43:T48)</f>
        <v>0</v>
      </c>
      <c r="U49" s="254">
        <f>U41-SUM(U43:U48)</f>
        <v>0</v>
      </c>
      <c r="V49" s="150" t="e">
        <f>(M43*V43+M44*V44+M45*V45+M46*V46+M47*V47+M48*V48)/M49</f>
        <v>#DIV/0!</v>
      </c>
      <c r="W49" s="142">
        <f>SUM(W43:W48)</f>
        <v>0</v>
      </c>
      <c r="X49" s="142" t="e">
        <f t="shared" si="6"/>
        <v>#DIV/0!</v>
      </c>
      <c r="Y49" s="141" t="e">
        <f>(Y43*N43+Y44*N44+Y45*N45+Y46*N46+Y47*N47+Y48*N48)/N49</f>
        <v>#DIV/0!</v>
      </c>
      <c r="Z49" s="141">
        <f>SUM(Z43:Z48)</f>
        <v>0</v>
      </c>
      <c r="AA49" s="151"/>
    </row>
    <row r="50" spans="1:27" s="109" customFormat="1" ht="15.75" customHeight="1" thickBot="1">
      <c r="A50" s="152" t="s">
        <v>9</v>
      </c>
      <c r="B50" s="112">
        <f>B48-B41</f>
        <v>0</v>
      </c>
      <c r="C50" s="108"/>
      <c r="D50" s="108"/>
      <c r="E50" s="125"/>
      <c r="F50" s="108"/>
      <c r="G50" s="226">
        <f>G41-G49</f>
        <v>0.3333333333333333</v>
      </c>
      <c r="H50" s="129">
        <f>H41-H49</f>
        <v>150</v>
      </c>
      <c r="I50" s="108"/>
      <c r="J50" s="108"/>
      <c r="K50" s="108"/>
      <c r="L50" s="108"/>
      <c r="M50" s="108"/>
      <c r="N50" s="108"/>
      <c r="O50" s="196" t="e">
        <f>SUM(O43:O48)/N49</f>
        <v>#DIV/0!</v>
      </c>
      <c r="P50" s="196" t="e">
        <f>SUM(P43:P48)/N49</f>
        <v>#DIV/0!</v>
      </c>
      <c r="Q50" s="196" t="e">
        <f>SUM(Q43:Q48)/N49</f>
        <v>#DIV/0!</v>
      </c>
      <c r="R50" s="196" t="e">
        <f>SUM(R43:R48)/N49</f>
        <v>#DIV/0!</v>
      </c>
      <c r="S50" s="196" t="e">
        <f>SUM(S43:S48)/N49</f>
        <v>#DIV/0!</v>
      </c>
      <c r="T50" s="196" t="e">
        <f>SUM(T43:T48)/N49</f>
        <v>#DIV/0!</v>
      </c>
      <c r="U50" s="196" t="e">
        <f>SUM(U43:U48)/N49</f>
        <v>#DIV/0!</v>
      </c>
      <c r="V50" s="108"/>
      <c r="W50" s="108"/>
      <c r="X50" s="108"/>
      <c r="Y50" s="108"/>
      <c r="Z50" s="108"/>
      <c r="AA50" s="153"/>
    </row>
    <row r="51" spans="5:27" s="109" customFormat="1" ht="15" customHeight="1" thickBot="1">
      <c r="E51" s="122"/>
      <c r="W51" s="114"/>
      <c r="X51" s="114"/>
      <c r="AA51" s="119"/>
    </row>
    <row r="52" spans="1:27" ht="15.75" customHeight="1" thickBot="1">
      <c r="A52" s="154" t="s">
        <v>44</v>
      </c>
      <c r="B52" s="155">
        <f>B38+1</f>
        <v>5</v>
      </c>
      <c r="C52" s="156" t="s">
        <v>104</v>
      </c>
      <c r="D52" s="157"/>
      <c r="E52" s="257">
        <f>E38+7</f>
        <v>38389</v>
      </c>
      <c r="F52" s="158"/>
      <c r="G52" s="158"/>
      <c r="H52" s="158"/>
      <c r="I52" s="158"/>
      <c r="J52" s="158"/>
      <c r="K52" s="144"/>
      <c r="L52" s="144"/>
      <c r="M52" s="159" t="s">
        <v>103</v>
      </c>
      <c r="N52" s="159"/>
      <c r="O52" s="159"/>
      <c r="P52" s="159"/>
      <c r="Q52" s="159"/>
      <c r="R52" s="159"/>
      <c r="S52" s="159"/>
      <c r="T52" s="159"/>
      <c r="U52" s="159"/>
      <c r="V52" s="158"/>
      <c r="W52" s="160"/>
      <c r="X52" s="160"/>
      <c r="Y52" s="158"/>
      <c r="Z52" s="158"/>
      <c r="AA52" s="161"/>
    </row>
    <row r="53" spans="1:27" ht="12.75">
      <c r="A53" s="230" t="s">
        <v>126</v>
      </c>
      <c r="B53" s="43"/>
      <c r="C53" s="33"/>
      <c r="D53" s="33"/>
      <c r="E53" s="162"/>
      <c r="F53" s="27"/>
      <c r="G53" s="27"/>
      <c r="H53" s="27"/>
      <c r="I53" s="209"/>
      <c r="J53" s="27"/>
      <c r="K53" s="27"/>
      <c r="L53" s="27"/>
      <c r="M53" s="27"/>
      <c r="N53" s="42"/>
      <c r="O53" s="43" t="s">
        <v>118</v>
      </c>
      <c r="P53" s="43"/>
      <c r="Q53" s="43"/>
      <c r="R53" s="43"/>
      <c r="S53" s="43"/>
      <c r="T53" s="43"/>
      <c r="U53" s="43"/>
      <c r="V53" s="27"/>
      <c r="W53" s="163"/>
      <c r="X53" s="163"/>
      <c r="Y53" s="27"/>
      <c r="Z53" s="27"/>
      <c r="AA53" s="164"/>
    </row>
    <row r="54" spans="1:27" s="127" customFormat="1" ht="16.5" thickBot="1">
      <c r="A54" s="165" t="s">
        <v>106</v>
      </c>
      <c r="B54" s="100" t="s">
        <v>107</v>
      </c>
      <c r="C54" s="100" t="s">
        <v>108</v>
      </c>
      <c r="D54" s="100" t="s">
        <v>109</v>
      </c>
      <c r="E54" s="126" t="s">
        <v>124</v>
      </c>
      <c r="F54" s="100" t="s">
        <v>125</v>
      </c>
      <c r="G54" s="100" t="s">
        <v>110</v>
      </c>
      <c r="H54" s="100" t="s">
        <v>111</v>
      </c>
      <c r="I54" s="100" t="s">
        <v>112</v>
      </c>
      <c r="J54" s="100" t="s">
        <v>113</v>
      </c>
      <c r="K54" s="100" t="s">
        <v>114</v>
      </c>
      <c r="L54" s="100" t="s">
        <v>115</v>
      </c>
      <c r="M54" s="100" t="s">
        <v>116</v>
      </c>
      <c r="N54" s="100" t="s">
        <v>117</v>
      </c>
      <c r="O54" s="100" t="s">
        <v>5</v>
      </c>
      <c r="P54" s="100" t="s">
        <v>1</v>
      </c>
      <c r="Q54" s="100" t="s">
        <v>2</v>
      </c>
      <c r="R54" s="100" t="s">
        <v>3</v>
      </c>
      <c r="S54" s="100" t="s">
        <v>7</v>
      </c>
      <c r="T54" s="100" t="s">
        <v>8</v>
      </c>
      <c r="U54" s="100" t="s">
        <v>40</v>
      </c>
      <c r="V54" s="100" t="s">
        <v>119</v>
      </c>
      <c r="W54" s="118" t="s">
        <v>120</v>
      </c>
      <c r="X54" s="118" t="s">
        <v>121</v>
      </c>
      <c r="Y54" s="100" t="s">
        <v>122</v>
      </c>
      <c r="Z54" s="100" t="s">
        <v>6</v>
      </c>
      <c r="AA54" s="153" t="s">
        <v>123</v>
      </c>
    </row>
    <row r="55" spans="1:27" s="81" customFormat="1" ht="12.75" customHeight="1">
      <c r="A55" s="227" t="s">
        <v>105</v>
      </c>
      <c r="B55" s="66">
        <v>7</v>
      </c>
      <c r="C55" s="104"/>
      <c r="D55" s="104"/>
      <c r="E55" s="124"/>
      <c r="F55" s="105"/>
      <c r="G55" s="227">
        <v>0.3333333333333333</v>
      </c>
      <c r="H55" s="66">
        <v>150</v>
      </c>
      <c r="I55" s="105"/>
      <c r="J55" s="105"/>
      <c r="K55" s="105"/>
      <c r="L55" s="105"/>
      <c r="M55" s="106"/>
      <c r="N55" s="227">
        <v>0.34027777777777773</v>
      </c>
      <c r="O55" s="227">
        <f aca="true" t="shared" si="8" ref="O55:U55">$N55*O56</f>
        <v>0</v>
      </c>
      <c r="P55" s="227">
        <f t="shared" si="8"/>
        <v>0.06805555555555556</v>
      </c>
      <c r="Q55" s="227">
        <f t="shared" si="8"/>
        <v>0.2381944444444444</v>
      </c>
      <c r="R55" s="227">
        <f t="shared" si="8"/>
        <v>0.034027777777777775</v>
      </c>
      <c r="S55" s="227">
        <f t="shared" si="8"/>
        <v>0</v>
      </c>
      <c r="T55" s="227">
        <f t="shared" si="8"/>
        <v>0</v>
      </c>
      <c r="U55" s="227">
        <f t="shared" si="8"/>
        <v>0</v>
      </c>
      <c r="V55" s="105"/>
      <c r="W55" s="115"/>
      <c r="X55" s="115"/>
      <c r="Y55" s="105"/>
      <c r="Z55" s="105"/>
      <c r="AA55" s="167"/>
    </row>
    <row r="56" spans="1:27" s="81" customFormat="1" ht="12.75" customHeight="1" thickBot="1">
      <c r="A56" s="168"/>
      <c r="B56" s="107"/>
      <c r="C56" s="107"/>
      <c r="D56" s="107"/>
      <c r="E56" s="125"/>
      <c r="F56" s="108"/>
      <c r="G56" s="108"/>
      <c r="H56" s="108"/>
      <c r="I56" s="108"/>
      <c r="J56" s="108"/>
      <c r="K56" s="108"/>
      <c r="L56" s="108"/>
      <c r="M56" s="108"/>
      <c r="N56" s="108"/>
      <c r="O56" s="136">
        <v>0</v>
      </c>
      <c r="P56" s="136">
        <f>1-(SUM(Q56:U56)+O56)</f>
        <v>0.20000000000000007</v>
      </c>
      <c r="Q56" s="136">
        <v>0.7</v>
      </c>
      <c r="R56" s="136">
        <v>0.1</v>
      </c>
      <c r="S56" s="136">
        <v>0</v>
      </c>
      <c r="T56" s="136">
        <v>0</v>
      </c>
      <c r="U56" s="136">
        <v>0</v>
      </c>
      <c r="V56" s="108"/>
      <c r="W56" s="116"/>
      <c r="X56" s="116"/>
      <c r="Y56" s="108"/>
      <c r="Z56" s="108"/>
      <c r="AA56" s="169"/>
    </row>
    <row r="57" spans="1:27" s="113" customFormat="1" ht="15.75" customHeight="1">
      <c r="A57" s="170">
        <f>A48+1</f>
        <v>19</v>
      </c>
      <c r="B57" s="97">
        <v>1</v>
      </c>
      <c r="C57" s="98"/>
      <c r="D57" s="98"/>
      <c r="E57" s="255"/>
      <c r="F57" s="255"/>
      <c r="G57" s="255"/>
      <c r="H57" s="99"/>
      <c r="I57" s="96"/>
      <c r="J57" s="96"/>
      <c r="K57" s="255"/>
      <c r="L57" s="255">
        <f aca="true" t="shared" si="9" ref="L57:L63">K57+M57</f>
        <v>0</v>
      </c>
      <c r="M57" s="255"/>
      <c r="N57" s="255"/>
      <c r="O57" s="255"/>
      <c r="P57" s="255"/>
      <c r="Q57" s="255"/>
      <c r="R57" s="255"/>
      <c r="S57" s="255"/>
      <c r="T57" s="255"/>
      <c r="U57" s="96"/>
      <c r="V57" s="99"/>
      <c r="W57" s="117"/>
      <c r="X57" s="117" t="e">
        <f aca="true" t="shared" si="10" ref="X57:X64">(W57/N57/24)</f>
        <v>#DIV/0!</v>
      </c>
      <c r="Y57" s="99"/>
      <c r="Z57" s="99">
        <f aca="true" t="shared" si="11" ref="Z57:Z63">(N57*24*Y57*3.44)</f>
        <v>0</v>
      </c>
      <c r="AA57" s="174"/>
    </row>
    <row r="58" spans="1:27" s="113" customFormat="1" ht="15.75" customHeight="1">
      <c r="A58" s="170">
        <f aca="true" t="shared" si="12" ref="A58:A63">A57+1</f>
        <v>20</v>
      </c>
      <c r="B58" s="97">
        <v>2</v>
      </c>
      <c r="C58" s="98"/>
      <c r="D58" s="98"/>
      <c r="E58" s="255"/>
      <c r="F58" s="255"/>
      <c r="G58" s="255"/>
      <c r="H58" s="99"/>
      <c r="I58" s="96"/>
      <c r="J58" s="96"/>
      <c r="K58" s="255"/>
      <c r="L58" s="255">
        <f t="shared" si="9"/>
        <v>0</v>
      </c>
      <c r="M58" s="255"/>
      <c r="N58" s="255"/>
      <c r="O58" s="255"/>
      <c r="P58" s="255"/>
      <c r="Q58" s="255"/>
      <c r="R58" s="255"/>
      <c r="S58" s="255"/>
      <c r="T58" s="255"/>
      <c r="U58" s="96"/>
      <c r="V58" s="99"/>
      <c r="W58" s="117"/>
      <c r="X58" s="117" t="e">
        <f t="shared" si="10"/>
        <v>#DIV/0!</v>
      </c>
      <c r="Y58" s="99"/>
      <c r="Z58" s="99">
        <f t="shared" si="11"/>
        <v>0</v>
      </c>
      <c r="AA58" s="174"/>
    </row>
    <row r="59" spans="1:27" s="113" customFormat="1" ht="15.75" customHeight="1">
      <c r="A59" s="170">
        <f t="shared" si="12"/>
        <v>21</v>
      </c>
      <c r="B59" s="97">
        <v>3</v>
      </c>
      <c r="C59" s="98"/>
      <c r="D59" s="98"/>
      <c r="E59" s="255"/>
      <c r="F59" s="255"/>
      <c r="G59" s="255"/>
      <c r="H59" s="99"/>
      <c r="I59" s="96"/>
      <c r="J59" s="96"/>
      <c r="K59" s="255"/>
      <c r="L59" s="255">
        <f t="shared" si="9"/>
        <v>0</v>
      </c>
      <c r="M59" s="255"/>
      <c r="N59" s="255"/>
      <c r="O59" s="255"/>
      <c r="P59" s="255"/>
      <c r="Q59" s="255"/>
      <c r="R59" s="255"/>
      <c r="S59" s="255"/>
      <c r="T59" s="255"/>
      <c r="U59" s="96"/>
      <c r="V59" s="99"/>
      <c r="W59" s="117"/>
      <c r="X59" s="117" t="e">
        <f t="shared" si="10"/>
        <v>#DIV/0!</v>
      </c>
      <c r="Y59" s="99"/>
      <c r="Z59" s="99">
        <f t="shared" si="11"/>
        <v>0</v>
      </c>
      <c r="AA59" s="174"/>
    </row>
    <row r="60" spans="1:27" s="113" customFormat="1" ht="15.75" customHeight="1">
      <c r="A60" s="170">
        <f t="shared" si="12"/>
        <v>22</v>
      </c>
      <c r="B60" s="97">
        <v>4</v>
      </c>
      <c r="C60" s="98"/>
      <c r="D60" s="98"/>
      <c r="E60" s="255"/>
      <c r="F60" s="255"/>
      <c r="G60" s="255"/>
      <c r="H60" s="99"/>
      <c r="I60" s="96"/>
      <c r="J60" s="96"/>
      <c r="K60" s="255"/>
      <c r="L60" s="255">
        <f t="shared" si="9"/>
        <v>0</v>
      </c>
      <c r="M60" s="255"/>
      <c r="N60" s="255"/>
      <c r="O60" s="255"/>
      <c r="P60" s="255"/>
      <c r="Q60" s="255"/>
      <c r="R60" s="255"/>
      <c r="S60" s="255"/>
      <c r="T60" s="255"/>
      <c r="U60" s="96"/>
      <c r="V60" s="99"/>
      <c r="W60" s="117"/>
      <c r="X60" s="117" t="e">
        <f t="shared" si="10"/>
        <v>#DIV/0!</v>
      </c>
      <c r="Y60" s="99"/>
      <c r="Z60" s="99">
        <f t="shared" si="11"/>
        <v>0</v>
      </c>
      <c r="AA60" s="174"/>
    </row>
    <row r="61" spans="1:27" s="113" customFormat="1" ht="15.75" customHeight="1">
      <c r="A61" s="170">
        <f t="shared" si="12"/>
        <v>23</v>
      </c>
      <c r="B61" s="97">
        <v>5</v>
      </c>
      <c r="C61" s="98"/>
      <c r="D61" s="98"/>
      <c r="E61" s="255"/>
      <c r="F61" s="255"/>
      <c r="G61" s="255"/>
      <c r="H61" s="99"/>
      <c r="I61" s="96"/>
      <c r="J61" s="96"/>
      <c r="K61" s="255"/>
      <c r="L61" s="255">
        <f t="shared" si="9"/>
        <v>0</v>
      </c>
      <c r="M61" s="255"/>
      <c r="N61" s="255"/>
      <c r="O61" s="255"/>
      <c r="P61" s="255"/>
      <c r="Q61" s="255"/>
      <c r="R61" s="255"/>
      <c r="S61" s="255"/>
      <c r="T61" s="255"/>
      <c r="U61" s="96"/>
      <c r="V61" s="99"/>
      <c r="W61" s="117"/>
      <c r="X61" s="117" t="e">
        <f t="shared" si="10"/>
        <v>#DIV/0!</v>
      </c>
      <c r="Y61" s="99"/>
      <c r="Z61" s="99">
        <f t="shared" si="11"/>
        <v>0</v>
      </c>
      <c r="AA61" s="174"/>
    </row>
    <row r="62" spans="1:27" s="113" customFormat="1" ht="15.75" customHeight="1">
      <c r="A62" s="170">
        <f t="shared" si="12"/>
        <v>24</v>
      </c>
      <c r="B62" s="97">
        <v>6</v>
      </c>
      <c r="C62" s="98"/>
      <c r="D62" s="98"/>
      <c r="E62" s="255"/>
      <c r="F62" s="255"/>
      <c r="G62" s="255"/>
      <c r="H62" s="99"/>
      <c r="I62" s="96"/>
      <c r="J62" s="96"/>
      <c r="K62" s="255"/>
      <c r="L62" s="255">
        <f t="shared" si="9"/>
        <v>0</v>
      </c>
      <c r="M62" s="255"/>
      <c r="N62" s="255"/>
      <c r="O62" s="255"/>
      <c r="P62" s="255"/>
      <c r="Q62" s="255"/>
      <c r="R62" s="255"/>
      <c r="S62" s="255"/>
      <c r="T62" s="255"/>
      <c r="U62" s="96"/>
      <c r="V62" s="99"/>
      <c r="W62" s="117"/>
      <c r="X62" s="117" t="e">
        <f t="shared" si="10"/>
        <v>#DIV/0!</v>
      </c>
      <c r="Y62" s="99"/>
      <c r="Z62" s="99">
        <f t="shared" si="11"/>
        <v>0</v>
      </c>
      <c r="AA62" s="174"/>
    </row>
    <row r="63" spans="1:27" s="113" customFormat="1" ht="15.75" customHeight="1" thickBot="1">
      <c r="A63" s="170">
        <f t="shared" si="12"/>
        <v>25</v>
      </c>
      <c r="B63" s="97">
        <v>7</v>
      </c>
      <c r="C63" s="98"/>
      <c r="D63" s="98"/>
      <c r="E63" s="255"/>
      <c r="F63" s="255"/>
      <c r="G63" s="255"/>
      <c r="H63" s="99"/>
      <c r="I63" s="96"/>
      <c r="J63" s="96"/>
      <c r="K63" s="255"/>
      <c r="L63" s="255">
        <f t="shared" si="9"/>
        <v>0</v>
      </c>
      <c r="M63" s="255"/>
      <c r="N63" s="255"/>
      <c r="O63" s="255"/>
      <c r="P63" s="255"/>
      <c r="Q63" s="255"/>
      <c r="R63" s="255"/>
      <c r="S63" s="255"/>
      <c r="T63" s="255"/>
      <c r="U63" s="96"/>
      <c r="V63" s="99"/>
      <c r="W63" s="117"/>
      <c r="X63" s="117" t="e">
        <f t="shared" si="10"/>
        <v>#DIV/0!</v>
      </c>
      <c r="Y63" s="99"/>
      <c r="Z63" s="99">
        <f t="shared" si="11"/>
        <v>0</v>
      </c>
      <c r="AA63" s="174"/>
    </row>
    <row r="64" spans="1:27" s="109" customFormat="1" ht="15.75" customHeight="1">
      <c r="A64" s="148" t="s">
        <v>129</v>
      </c>
      <c r="B64" s="149"/>
      <c r="C64" s="149"/>
      <c r="D64" s="149"/>
      <c r="E64" s="254">
        <f>SUM(E57:E63)/B63</f>
        <v>0</v>
      </c>
      <c r="F64" s="254">
        <f>SUM(F57:F63)/B63</f>
        <v>0</v>
      </c>
      <c r="G64" s="254">
        <f>SUM(G57:G63)/B63</f>
        <v>0</v>
      </c>
      <c r="H64" s="141">
        <f>SUM(H57:H63)/B63</f>
        <v>0</v>
      </c>
      <c r="I64" s="150">
        <f>SUM(I57:I63)/B63</f>
        <v>0</v>
      </c>
      <c r="J64" s="149"/>
      <c r="K64" s="254">
        <f>SUM(K57:K63)/B63</f>
        <v>0</v>
      </c>
      <c r="L64" s="254">
        <f>SUM(L57:L63)/B63</f>
        <v>0</v>
      </c>
      <c r="M64" s="254">
        <f>SUM(M57:M63)</f>
        <v>0</v>
      </c>
      <c r="N64" s="254">
        <f>SUM(N57:N63)</f>
        <v>0</v>
      </c>
      <c r="O64" s="254">
        <f>O55-SUM(O57:O63)</f>
        <v>0</v>
      </c>
      <c r="P64" s="254">
        <f>P55-SUM(P57:P63)</f>
        <v>0.06805555555555556</v>
      </c>
      <c r="Q64" s="254">
        <f>Q55-SUM(Q57:Q63)</f>
        <v>0.2381944444444444</v>
      </c>
      <c r="R64" s="254">
        <f>R55-SUM(R57:R63)</f>
        <v>0.034027777777777775</v>
      </c>
      <c r="S64" s="254">
        <f>S55-SUM(S57:S63)</f>
        <v>0</v>
      </c>
      <c r="T64" s="254">
        <f>T55-SUM(T57:T63)</f>
        <v>0</v>
      </c>
      <c r="U64" s="254">
        <f>U55-SUM(U57:U63)</f>
        <v>0</v>
      </c>
      <c r="V64" s="143" t="e">
        <f>(M57*V57+M58*V58+M59*V59+M60*V60+M61*V61+M62*V62+M63*V63)/M64</f>
        <v>#DIV/0!</v>
      </c>
      <c r="W64" s="142">
        <f>SUM(W57:W63)</f>
        <v>0</v>
      </c>
      <c r="X64" s="142" t="e">
        <f t="shared" si="10"/>
        <v>#DIV/0!</v>
      </c>
      <c r="Y64" s="143" t="e">
        <f>(Y57*N57+Y58*N58+Y59*N59+Y60*N60+Y61*N61+Y62*N62+Y63*N63)/N64</f>
        <v>#DIV/0!</v>
      </c>
      <c r="Z64" s="141">
        <f>SUM(Z57:Z63)</f>
        <v>0</v>
      </c>
      <c r="AA64" s="151"/>
    </row>
    <row r="65" spans="1:27" s="109" customFormat="1" ht="15.75" customHeight="1" thickBot="1">
      <c r="A65" s="152" t="s">
        <v>9</v>
      </c>
      <c r="B65" s="112">
        <f>B63-B55</f>
        <v>0</v>
      </c>
      <c r="C65" s="108"/>
      <c r="D65" s="108"/>
      <c r="E65" s="125"/>
      <c r="F65" s="108"/>
      <c r="G65" s="226">
        <f>G55-G64</f>
        <v>0.3333333333333333</v>
      </c>
      <c r="H65" s="129">
        <f>H55-H64</f>
        <v>150</v>
      </c>
      <c r="I65" s="108"/>
      <c r="J65" s="108"/>
      <c r="K65" s="108"/>
      <c r="L65" s="108"/>
      <c r="M65" s="108"/>
      <c r="N65" s="108"/>
      <c r="O65" s="196" t="e">
        <f>SUM(O57:O63)/N64</f>
        <v>#DIV/0!</v>
      </c>
      <c r="P65" s="196" t="e">
        <f>SUM(P57:P63)/N64</f>
        <v>#DIV/0!</v>
      </c>
      <c r="Q65" s="196" t="e">
        <f>SUM(Q57:Q63)/N64</f>
        <v>#DIV/0!</v>
      </c>
      <c r="R65" s="196" t="e">
        <f>SUM(R57:R63)/N64</f>
        <v>#DIV/0!</v>
      </c>
      <c r="S65" s="196" t="e">
        <f>SUM(S57:S63)/N64</f>
        <v>#DIV/0!</v>
      </c>
      <c r="T65" s="196" t="e">
        <f>SUM(T57:T63)/N64</f>
        <v>#DIV/0!</v>
      </c>
      <c r="U65" s="196" t="e">
        <f>SUM(U57:U63)/N64</f>
        <v>#DIV/0!</v>
      </c>
      <c r="V65" s="108"/>
      <c r="W65" s="108"/>
      <c r="X65" s="108"/>
      <c r="Y65" s="108"/>
      <c r="Z65" s="108"/>
      <c r="AA65" s="153"/>
    </row>
    <row r="66" spans="5:27" s="109" customFormat="1" ht="15" customHeight="1">
      <c r="E66" s="122"/>
      <c r="W66" s="114"/>
      <c r="X66" s="114"/>
      <c r="AA66" s="119"/>
    </row>
  </sheetData>
  <printOptions verticalCentered="1"/>
  <pageMargins left="1" right="0" top="0" bottom="0" header="0" footer="0"/>
  <pageSetup horizontalDpi="600" verticalDpi="600" orientation="landscape" scale="52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Tomasz Tarchała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Modyfikowalny plan/dziennik treningowy 2005</dc:title>
  <dc:subject/>
  <dc:creator>Charles Howe</dc:creator>
  <cp:keywords/>
  <dc:description/>
  <cp:lastModifiedBy>Tomasz Tarchała</cp:lastModifiedBy>
  <cp:lastPrinted>2002-12-07T05:04:31Z</cp:lastPrinted>
  <dcterms:created xsi:type="dcterms:W3CDTF">2000-11-11T17:01:25Z</dcterms:created>
  <dcterms:modified xsi:type="dcterms:W3CDTF">2004-10-26T21:35:03Z</dcterms:modified>
  <cp:category/>
  <cp:version/>
  <cp:contentType/>
  <cp:contentStatus/>
</cp:coreProperties>
</file>